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Unconfirmed Flood Reports" sheetId="1" r:id="rId1"/>
  </sheets>
  <definedNames>
    <definedName name="_xlnm._FilterDatabase" localSheetId="0" hidden="1">'Unconfirmed Flood Reports'!$A$1:$F$1364</definedName>
  </definedNames>
  <calcPr calcId="152511"/>
</workbook>
</file>

<file path=xl/sharedStrings.xml><?xml version="1.0" encoding="utf-8"?>
<sst xmlns="http://schemas.openxmlformats.org/spreadsheetml/2006/main" count="3522" uniqueCount="830">
  <si>
    <t>District</t>
  </si>
  <si>
    <t>URL</t>
  </si>
  <si>
    <t>Abim</t>
  </si>
  <si>
    <t>24/5/2010</t>
  </si>
  <si>
    <t>15/8/2011</t>
  </si>
  <si>
    <t>No specific date. 2007.</t>
  </si>
  <si>
    <t>Adjumani</t>
  </si>
  <si>
    <t>19/2/2011</t>
  </si>
  <si>
    <t>Apac</t>
  </si>
  <si>
    <t>24/9/2007</t>
  </si>
  <si>
    <t>30/12/2009</t>
  </si>
  <si>
    <t>30/4/2010</t>
  </si>
  <si>
    <t>14/1/2011</t>
  </si>
  <si>
    <t>28/9/2012</t>
  </si>
  <si>
    <t>24/4/2013</t>
  </si>
  <si>
    <t>18/10/2014</t>
  </si>
  <si>
    <t>28/2/2015</t>
  </si>
  <si>
    <t>Arua</t>
  </si>
  <si>
    <t>25/9/2007</t>
  </si>
  <si>
    <t>16/5/2008</t>
  </si>
  <si>
    <t>23/12/2008</t>
  </si>
  <si>
    <t>31/8/2011</t>
  </si>
  <si>
    <t>17/2/2012</t>
  </si>
  <si>
    <t>21/3/2013</t>
  </si>
  <si>
    <t>30/8/2013</t>
  </si>
  <si>
    <t>22/11/2014</t>
  </si>
  <si>
    <t>Bugiri</t>
  </si>
  <si>
    <t>Bukanga</t>
  </si>
  <si>
    <t>17/9/2008</t>
  </si>
  <si>
    <t>24/8/2012</t>
  </si>
  <si>
    <t>27/11/2012</t>
  </si>
  <si>
    <t>Bundibugyo</t>
  </si>
  <si>
    <t>28/9/2007</t>
  </si>
  <si>
    <t>19/8/2010</t>
  </si>
  <si>
    <t>19/9/2010</t>
  </si>
  <si>
    <t>20/5/2012</t>
  </si>
  <si>
    <t>22/5/2012</t>
  </si>
  <si>
    <t>16/10/2012</t>
  </si>
  <si>
    <t>31/1/2013</t>
  </si>
  <si>
    <t>14/5/2013</t>
  </si>
  <si>
    <t>16/5/2013</t>
  </si>
  <si>
    <t>18/5/2013</t>
  </si>
  <si>
    <t>26/6/2013</t>
  </si>
  <si>
    <t>16/11/2013</t>
  </si>
  <si>
    <t>20/5/2014</t>
  </si>
  <si>
    <t>17/11/2014</t>
  </si>
  <si>
    <t>19/11/2014</t>
  </si>
  <si>
    <t>22/5/2015</t>
  </si>
  <si>
    <t>Bushenyi</t>
  </si>
  <si>
    <t>13/11/2011</t>
  </si>
  <si>
    <t>17/8/2012</t>
  </si>
  <si>
    <t>28/11/2012</t>
  </si>
  <si>
    <t>Gulu</t>
  </si>
  <si>
    <t>18/12/2007</t>
  </si>
  <si>
    <t>18/11/2008</t>
  </si>
  <si>
    <t>23/11/2008</t>
  </si>
  <si>
    <t>13/10/2010</t>
  </si>
  <si>
    <t>23/10/2010</t>
  </si>
  <si>
    <t>15/6/2011</t>
  </si>
  <si>
    <t>27/9/2011</t>
  </si>
  <si>
    <t>22/2/2012</t>
  </si>
  <si>
    <t>14/6/2013</t>
  </si>
  <si>
    <t>29/7/2013</t>
  </si>
  <si>
    <t>15/11/2013</t>
  </si>
  <si>
    <t>16/9/2014</t>
  </si>
  <si>
    <t>Iganga</t>
  </si>
  <si>
    <t>26/8/2008</t>
  </si>
  <si>
    <t>14/2/2009</t>
  </si>
  <si>
    <t>16/1/2011</t>
  </si>
  <si>
    <t>22/7/2014</t>
  </si>
  <si>
    <t>22/4/2015</t>
  </si>
  <si>
    <t>Jinja</t>
  </si>
  <si>
    <t>19/5/2005</t>
  </si>
  <si>
    <t>14/10/2007</t>
  </si>
  <si>
    <t>15/10/2007</t>
  </si>
  <si>
    <t>16/10/2007</t>
  </si>
  <si>
    <t>27/4/2009</t>
  </si>
  <si>
    <t>26/2/2010</t>
  </si>
  <si>
    <t>24/3/2010</t>
  </si>
  <si>
    <t>14/4/2010</t>
  </si>
  <si>
    <t>21/5/2010</t>
  </si>
  <si>
    <t>18/10/2010</t>
  </si>
  <si>
    <t>17/7/2011</t>
  </si>
  <si>
    <t>18/7/2011</t>
  </si>
  <si>
    <t>21/8/2011</t>
  </si>
  <si>
    <t>14/5/2012</t>
  </si>
  <si>
    <t>25/9/2012</t>
  </si>
  <si>
    <t>16/1/2013</t>
  </si>
  <si>
    <t>29/1/2013</t>
  </si>
  <si>
    <t>14/9/2013</t>
  </si>
  <si>
    <t>20/10/2013</t>
  </si>
  <si>
    <t>14/1/2014</t>
  </si>
  <si>
    <t>18/4/2014</t>
  </si>
  <si>
    <t>18/12/2014</t>
  </si>
  <si>
    <t>Kabale</t>
  </si>
  <si>
    <t>21/3/2010</t>
  </si>
  <si>
    <t>17/5/2010</t>
  </si>
  <si>
    <t>18/5/2010</t>
  </si>
  <si>
    <t>19/5/2010</t>
  </si>
  <si>
    <t>25/5/2010</t>
  </si>
  <si>
    <t>29/12/2010</t>
  </si>
  <si>
    <t>24/3/2011</t>
  </si>
  <si>
    <t>19/9/2011</t>
  </si>
  <si>
    <t>20/9/2011</t>
  </si>
  <si>
    <t>22/11/2011</t>
  </si>
  <si>
    <t>27/3/2012</t>
  </si>
  <si>
    <t>26/6/2012</t>
  </si>
  <si>
    <t>13/11/2013</t>
  </si>
  <si>
    <t>14/1/2015</t>
  </si>
  <si>
    <t>23/3/2015</t>
  </si>
  <si>
    <t>15/4/2015</t>
  </si>
  <si>
    <t>Kabarole</t>
  </si>
  <si>
    <t>15/12/2009</t>
  </si>
  <si>
    <t>18/4/2010</t>
  </si>
  <si>
    <t>23/12/2010</t>
  </si>
  <si>
    <t>15/9/2011</t>
  </si>
  <si>
    <t>31/12/2011</t>
  </si>
  <si>
    <t>18/3/2012</t>
  </si>
  <si>
    <t>29/11/2014</t>
  </si>
  <si>
    <t>19/12/2014</t>
  </si>
  <si>
    <t>30/12/2014</t>
  </si>
  <si>
    <t>15/2/2015</t>
  </si>
  <si>
    <t>Kaberamaido</t>
  </si>
  <si>
    <t>20/1/2010</t>
  </si>
  <si>
    <t>25/8/2011</t>
  </si>
  <si>
    <t>22/6/2012</t>
  </si>
  <si>
    <t>25/12/2014</t>
  </si>
  <si>
    <t>Kalangala</t>
  </si>
  <si>
    <t>Kampala</t>
  </si>
  <si>
    <t>24/5/2001</t>
  </si>
  <si>
    <t>30/8/2001</t>
  </si>
  <si>
    <t>18/11/2002</t>
  </si>
  <si>
    <t>18/5/2003</t>
  </si>
  <si>
    <t>23/7/2003</t>
  </si>
  <si>
    <t>17/8/2003</t>
  </si>
  <si>
    <t>17/10/2003</t>
  </si>
  <si>
    <t>19/10/2003</t>
  </si>
  <si>
    <t>25/11/2004</t>
  </si>
  <si>
    <t>19/1/2005</t>
  </si>
  <si>
    <t>29/5/2005</t>
  </si>
  <si>
    <t>13/2/2006</t>
  </si>
  <si>
    <t>17/11/2006</t>
  </si>
  <si>
    <t>15/3/2007</t>
  </si>
  <si>
    <t>17/3/2007</t>
  </si>
  <si>
    <t>27/6/2007</t>
  </si>
  <si>
    <t>15/7/2007</t>
  </si>
  <si>
    <t>29/7/2007</t>
  </si>
  <si>
    <t>20/9/2007</t>
  </si>
  <si>
    <t>27/9/2007</t>
  </si>
  <si>
    <t>30/10/2007</t>
  </si>
  <si>
    <t>19/11/2007</t>
  </si>
  <si>
    <t>20/11/2007</t>
  </si>
  <si>
    <t>21/11/2007</t>
  </si>
  <si>
    <t>22/11/2007</t>
  </si>
  <si>
    <t>27/11/2007</t>
  </si>
  <si>
    <t>20/12/2007</t>
  </si>
  <si>
    <t>26/1/2008</t>
  </si>
  <si>
    <t>15/2/2008</t>
  </si>
  <si>
    <t>16/2/2008</t>
  </si>
  <si>
    <t>23/2/2008</t>
  </si>
  <si>
    <t>20/3/2008</t>
  </si>
  <si>
    <t>28/3/2008</t>
  </si>
  <si>
    <t>30/3/2008</t>
  </si>
  <si>
    <t>26/4/2008</t>
  </si>
  <si>
    <t>31/5/2008</t>
  </si>
  <si>
    <t>25/7/2008</t>
  </si>
  <si>
    <t>29/7/2008</t>
  </si>
  <si>
    <t>16/8/2008</t>
  </si>
  <si>
    <t>22/10/2008</t>
  </si>
  <si>
    <t>30/1/2009</t>
  </si>
  <si>
    <t>23/2/2009</t>
  </si>
  <si>
    <t>16/4/2009</t>
  </si>
  <si>
    <t>26/4/2009</t>
  </si>
  <si>
    <t>26/5/2009</t>
  </si>
  <si>
    <t>30/6/2009</t>
  </si>
  <si>
    <t>22/7/2009</t>
  </si>
  <si>
    <t>23/7/2009</t>
  </si>
  <si>
    <t>28/8/2009</t>
  </si>
  <si>
    <t>14/9/2009</t>
  </si>
  <si>
    <t>18/9/2009</t>
  </si>
  <si>
    <t>25/11/2009</t>
  </si>
  <si>
    <t>18/12/2009</t>
  </si>
  <si>
    <t>21/12/2009</t>
  </si>
  <si>
    <t>22/12/2009</t>
  </si>
  <si>
    <t>25/12/2009</t>
  </si>
  <si>
    <t>22/1/2010</t>
  </si>
  <si>
    <t>27/1/2010</t>
  </si>
  <si>
    <t>31/1/2010</t>
  </si>
  <si>
    <t>23/2/2010</t>
  </si>
  <si>
    <t>25/2/2010</t>
  </si>
  <si>
    <t>27/2/2010</t>
  </si>
  <si>
    <t>13/3/2010</t>
  </si>
  <si>
    <t>14/3/2010</t>
  </si>
  <si>
    <t>16/3/2010</t>
  </si>
  <si>
    <t>17/3/2010</t>
  </si>
  <si>
    <t>18/3/2010</t>
  </si>
  <si>
    <t>22/3/2010</t>
  </si>
  <si>
    <t>25/3/2010</t>
  </si>
  <si>
    <t>28/3/2010</t>
  </si>
  <si>
    <t>29/3/2010</t>
  </si>
  <si>
    <t>30/3/2010</t>
  </si>
  <si>
    <t>31/3/2010</t>
  </si>
  <si>
    <t>13/4/2010</t>
  </si>
  <si>
    <t>24/4/2010</t>
  </si>
  <si>
    <t>25/4/2010</t>
  </si>
  <si>
    <t>26/4/2010</t>
  </si>
  <si>
    <t>28/4/2010</t>
  </si>
  <si>
    <t>29/4/2010</t>
  </si>
  <si>
    <t>16/5/2010</t>
  </si>
  <si>
    <t>20/5/2010</t>
  </si>
  <si>
    <t>22/5/2010</t>
  </si>
  <si>
    <t>26/5/2010</t>
  </si>
  <si>
    <t>29/5/2010</t>
  </si>
  <si>
    <t>13/6/2010</t>
  </si>
  <si>
    <t>21/6/2010</t>
  </si>
  <si>
    <t>26/6/2010</t>
  </si>
  <si>
    <t>29/6/2010</t>
  </si>
  <si>
    <t>22/7/2010</t>
  </si>
  <si>
    <t>25/7/2010</t>
  </si>
  <si>
    <t>17/8/2010</t>
  </si>
  <si>
    <t>22/8/2010</t>
  </si>
  <si>
    <t>23/8/2010</t>
  </si>
  <si>
    <t>26/8/2010</t>
  </si>
  <si>
    <t>17/9/2010</t>
  </si>
  <si>
    <t>22/9/2010</t>
  </si>
  <si>
    <t>25/9/2010</t>
  </si>
  <si>
    <t>29/9/2010</t>
  </si>
  <si>
    <t>25/10/2010</t>
  </si>
  <si>
    <t>30/10/2010</t>
  </si>
  <si>
    <t>31/10/2010</t>
  </si>
  <si>
    <t>31/12/2010</t>
  </si>
  <si>
    <t>21/1/2011</t>
  </si>
  <si>
    <t>22/2/2011</t>
  </si>
  <si>
    <t>28/2/2011</t>
  </si>
  <si>
    <t>14/3/2011</t>
  </si>
  <si>
    <t>18/3/2011</t>
  </si>
  <si>
    <t>20/3/2011</t>
  </si>
  <si>
    <t>21/3/2011</t>
  </si>
  <si>
    <t>22/3/2011</t>
  </si>
  <si>
    <t>27/3/2011</t>
  </si>
  <si>
    <t>13/4/2011</t>
  </si>
  <si>
    <t>18/4/2011</t>
  </si>
  <si>
    <t>23/4/2011</t>
  </si>
  <si>
    <t>24/4/2011</t>
  </si>
  <si>
    <t>27/4/2011</t>
  </si>
  <si>
    <t>28/4/2011</t>
  </si>
  <si>
    <t>16/5/2011</t>
  </si>
  <si>
    <t>18/5/2011</t>
  </si>
  <si>
    <t>20/5/2011</t>
  </si>
  <si>
    <t>21/5/2011</t>
  </si>
  <si>
    <t>27/5/2011</t>
  </si>
  <si>
    <t>30/5/2011</t>
  </si>
  <si>
    <t>31/5/2011</t>
  </si>
  <si>
    <t>17/6/2011</t>
  </si>
  <si>
    <t>28/6/2011</t>
  </si>
  <si>
    <t>13/7/2011</t>
  </si>
  <si>
    <t>16/7/2011</t>
  </si>
  <si>
    <t>19/7/2011</t>
  </si>
  <si>
    <t>23/8/2011</t>
  </si>
  <si>
    <t>27/8/2011</t>
  </si>
  <si>
    <t>28/8/2011</t>
  </si>
  <si>
    <t>30/8/2011</t>
  </si>
  <si>
    <t>14/9/2011</t>
  </si>
  <si>
    <t>16/9/2011</t>
  </si>
  <si>
    <t>17/9/2011</t>
  </si>
  <si>
    <t>18/9/2011</t>
  </si>
  <si>
    <t>21/9/2011</t>
  </si>
  <si>
    <t>22/9/2011</t>
  </si>
  <si>
    <t>28/9/2011</t>
  </si>
  <si>
    <t>28/10/2011</t>
  </si>
  <si>
    <t>30/10/2011</t>
  </si>
  <si>
    <t>16/11/2011</t>
  </si>
  <si>
    <t>17/11/2011</t>
  </si>
  <si>
    <t>20/11/2011</t>
  </si>
  <si>
    <t>27/11/2011</t>
  </si>
  <si>
    <t>28/11/2011</t>
  </si>
  <si>
    <t>19/12/2011</t>
  </si>
  <si>
    <t>23/12/2011</t>
  </si>
  <si>
    <t>27/12/2011</t>
  </si>
  <si>
    <t>28/12/2011</t>
  </si>
  <si>
    <t>20/1/2012</t>
  </si>
  <si>
    <t>22/1/2012</t>
  </si>
  <si>
    <t>24/1/2012</t>
  </si>
  <si>
    <t>26/1/2012</t>
  </si>
  <si>
    <t>13/2/2012</t>
  </si>
  <si>
    <t>15/2/2012</t>
  </si>
  <si>
    <t>20/2/2012</t>
  </si>
  <si>
    <t>21/2/2012</t>
  </si>
  <si>
    <t>23/2/2012</t>
  </si>
  <si>
    <t>20/3/2012</t>
  </si>
  <si>
    <t>25/3/2012</t>
  </si>
  <si>
    <t>21/4/2012</t>
  </si>
  <si>
    <t>29/4/2012</t>
  </si>
  <si>
    <t>30/4/2012</t>
  </si>
  <si>
    <t>18/5/2012</t>
  </si>
  <si>
    <t>23/5/2012</t>
  </si>
  <si>
    <t>31/5/2012</t>
  </si>
  <si>
    <t>14/6/2012</t>
  </si>
  <si>
    <t>19/6/2012</t>
  </si>
  <si>
    <t>21/6/2012</t>
  </si>
  <si>
    <t>25/6/2012</t>
  </si>
  <si>
    <t>27/6/2012</t>
  </si>
  <si>
    <t>28/6/2012</t>
  </si>
  <si>
    <t>29/6/2012</t>
  </si>
  <si>
    <t>13/7/2012</t>
  </si>
  <si>
    <t>22/7/2012</t>
  </si>
  <si>
    <t>25/7/2012</t>
  </si>
  <si>
    <t>26/7/2012</t>
  </si>
  <si>
    <t>19/8/2012</t>
  </si>
  <si>
    <t>21/8/2012</t>
  </si>
  <si>
    <t>15/9/2012</t>
  </si>
  <si>
    <t>16/9/2012</t>
  </si>
  <si>
    <t>19/9/2012</t>
  </si>
  <si>
    <t>20/9/2012</t>
  </si>
  <si>
    <t>29/9/2012</t>
  </si>
  <si>
    <t>30/9/2012</t>
  </si>
  <si>
    <t>20/10/2012</t>
  </si>
  <si>
    <t>22/10/2012</t>
  </si>
  <si>
    <t>26/10/2012</t>
  </si>
  <si>
    <t>30/10/2012</t>
  </si>
  <si>
    <t>15/11/2012</t>
  </si>
  <si>
    <t>19/11/2012</t>
  </si>
  <si>
    <t>24/11/2012</t>
  </si>
  <si>
    <t>13/12/2012</t>
  </si>
  <si>
    <t>29/12/2012</t>
  </si>
  <si>
    <t>30/12/2012</t>
  </si>
  <si>
    <t>18/1/2013</t>
  </si>
  <si>
    <t>30/1/2013</t>
  </si>
  <si>
    <t>20/2/2013</t>
  </si>
  <si>
    <t>22/2/2013</t>
  </si>
  <si>
    <t>24/2/2013</t>
  </si>
  <si>
    <t>26/2/2013</t>
  </si>
  <si>
    <t>16/3/2013</t>
  </si>
  <si>
    <t>17/3/2013</t>
  </si>
  <si>
    <t>29/3/2013</t>
  </si>
  <si>
    <t>18/4/2013</t>
  </si>
  <si>
    <t>23/4/2013</t>
  </si>
  <si>
    <t>30/4/2013</t>
  </si>
  <si>
    <t>13/5/2013</t>
  </si>
  <si>
    <t>15/5/2013</t>
  </si>
  <si>
    <t>19/5/2013</t>
  </si>
  <si>
    <t>17/6/2013</t>
  </si>
  <si>
    <t>16/7/2013</t>
  </si>
  <si>
    <t>24/7/2013</t>
  </si>
  <si>
    <t>13/8/2013</t>
  </si>
  <si>
    <t>17/8/2013</t>
  </si>
  <si>
    <t>21/8/2013</t>
  </si>
  <si>
    <t>13/9/2013</t>
  </si>
  <si>
    <t>16/9/2013</t>
  </si>
  <si>
    <t>21/9/2013</t>
  </si>
  <si>
    <t>26/9/2013</t>
  </si>
  <si>
    <t>14/10/2013</t>
  </si>
  <si>
    <t>15/10/2013</t>
  </si>
  <si>
    <t>23/10/2013</t>
  </si>
  <si>
    <t>30/10/2013</t>
  </si>
  <si>
    <t>21/11/2013</t>
  </si>
  <si>
    <t>29/11/2013</t>
  </si>
  <si>
    <t>22/12/2013</t>
  </si>
  <si>
    <t>19/1/2014</t>
  </si>
  <si>
    <t>25/1/2014</t>
  </si>
  <si>
    <t>16/2/2014</t>
  </si>
  <si>
    <t>13/3/2014</t>
  </si>
  <si>
    <t>16/3/2014</t>
  </si>
  <si>
    <t>18/3/2014</t>
  </si>
  <si>
    <t>22/3/2014</t>
  </si>
  <si>
    <t>25/3/2014</t>
  </si>
  <si>
    <t>13/4/2014</t>
  </si>
  <si>
    <t>17/4/2014</t>
  </si>
  <si>
    <t>22/4/2014</t>
  </si>
  <si>
    <t>18/5/2014</t>
  </si>
  <si>
    <t>23/5/2014</t>
  </si>
  <si>
    <t>24/5/2014</t>
  </si>
  <si>
    <t>28/5/2014</t>
  </si>
  <si>
    <t>25/6/2014</t>
  </si>
  <si>
    <t>26/6/2014</t>
  </si>
  <si>
    <t>17/7/2014</t>
  </si>
  <si>
    <t>15/8/2014</t>
  </si>
  <si>
    <t>17/8/2014</t>
  </si>
  <si>
    <t>24/8/2014</t>
  </si>
  <si>
    <t>26/8/2014</t>
  </si>
  <si>
    <t>24/9/2014</t>
  </si>
  <si>
    <t>29/9/2014</t>
  </si>
  <si>
    <t>17/10/2014</t>
  </si>
  <si>
    <t>22/10/2014</t>
  </si>
  <si>
    <t>29/10/2014</t>
  </si>
  <si>
    <t>21/11/2014</t>
  </si>
  <si>
    <t>24/11/2014</t>
  </si>
  <si>
    <t>30/11/2014</t>
  </si>
  <si>
    <t>16/12/2014</t>
  </si>
  <si>
    <t>21/1/2015</t>
  </si>
  <si>
    <t>16/2/2015</t>
  </si>
  <si>
    <t>25/2/2015</t>
  </si>
  <si>
    <t>13/3/2015</t>
  </si>
  <si>
    <t>28/3/2015</t>
  </si>
  <si>
    <t>31/3/2015</t>
  </si>
  <si>
    <t>21/4/2015</t>
  </si>
  <si>
    <t>23/4/2015</t>
  </si>
  <si>
    <t>26/4/2015</t>
  </si>
  <si>
    <t>30/4/2015</t>
  </si>
  <si>
    <t>17/5/2015</t>
  </si>
  <si>
    <t>18/5/2015</t>
  </si>
  <si>
    <t>28/5/2015</t>
  </si>
  <si>
    <t>20/6/2015</t>
  </si>
  <si>
    <t>28/7/2015</t>
  </si>
  <si>
    <t>Kamuda</t>
  </si>
  <si>
    <t>Kamuli</t>
  </si>
  <si>
    <t>30/10/2008</t>
  </si>
  <si>
    <t>Kamwenge</t>
  </si>
  <si>
    <t>Kibale</t>
  </si>
  <si>
    <t>Kanungu</t>
  </si>
  <si>
    <t>Kapchorwa</t>
  </si>
  <si>
    <t>25/11/2011</t>
  </si>
  <si>
    <t>13/5/2012</t>
  </si>
  <si>
    <t>Kasese</t>
  </si>
  <si>
    <t>20/1/2013</t>
  </si>
  <si>
    <t>22/6/2014</t>
  </si>
  <si>
    <t>Katakwi</t>
  </si>
  <si>
    <t>21/11/2012</t>
  </si>
  <si>
    <t>No specific date</t>
  </si>
  <si>
    <t>20/1/2009</t>
  </si>
  <si>
    <t>26/9/2010</t>
  </si>
  <si>
    <t>20/11/2012</t>
  </si>
  <si>
    <t>15/5/2012</t>
  </si>
  <si>
    <t>15/7/2010</t>
  </si>
  <si>
    <t>22/11/2012</t>
  </si>
  <si>
    <t>14/11/2012</t>
  </si>
  <si>
    <t>Kayunga</t>
  </si>
  <si>
    <t>Kiboga</t>
  </si>
  <si>
    <t>22/7/2015</t>
  </si>
  <si>
    <t>Kisoro</t>
  </si>
  <si>
    <t>Kitgum</t>
  </si>
  <si>
    <t>Kotido</t>
  </si>
  <si>
    <t>24/8/2011</t>
  </si>
  <si>
    <t>30/12/2011</t>
  </si>
  <si>
    <t>17/7/2013</t>
  </si>
  <si>
    <t>18/9/2014</t>
  </si>
  <si>
    <t>Kumi</t>
  </si>
  <si>
    <t>14/7/2006</t>
  </si>
  <si>
    <t>13/1/2012</t>
  </si>
  <si>
    <t>15/7/2014</t>
  </si>
  <si>
    <t>Kyenjojo</t>
  </si>
  <si>
    <t>30/3/2011</t>
  </si>
  <si>
    <t>31/3/2011</t>
  </si>
  <si>
    <t>24/2/2012</t>
  </si>
  <si>
    <t>Lale</t>
  </si>
  <si>
    <t>Lira</t>
  </si>
  <si>
    <t>Moroto</t>
  </si>
  <si>
    <t>13/12/2007</t>
  </si>
  <si>
    <t>17/4/2010</t>
  </si>
  <si>
    <t>20/8/2010</t>
  </si>
  <si>
    <t>27/12/2010</t>
  </si>
  <si>
    <t>28/1/2011</t>
  </si>
  <si>
    <t>16/8/2011</t>
  </si>
  <si>
    <t>17/5/2012</t>
  </si>
  <si>
    <t>27/8/2013</t>
  </si>
  <si>
    <t>14/8/2014</t>
  </si>
  <si>
    <t>Luwero</t>
  </si>
  <si>
    <t>17/1/2007</t>
  </si>
  <si>
    <t>24/2/2011</t>
  </si>
  <si>
    <t>20/8/2012</t>
  </si>
  <si>
    <t>Masaka</t>
  </si>
  <si>
    <t>18/6/2007</t>
  </si>
  <si>
    <t>16/2/2010</t>
  </si>
  <si>
    <t>21/8/2010</t>
  </si>
  <si>
    <t>14/9/2010</t>
  </si>
  <si>
    <t>20/7/2011</t>
  </si>
  <si>
    <t>24/7/2012</t>
  </si>
  <si>
    <t>20/4/2014</t>
  </si>
  <si>
    <t>20/9/2014</t>
  </si>
  <si>
    <t>13/6/2015</t>
  </si>
  <si>
    <t>Masindi</t>
  </si>
  <si>
    <t>Mayuge</t>
  </si>
  <si>
    <t>18/4/2012</t>
  </si>
  <si>
    <t>Mbale</t>
  </si>
  <si>
    <t>25/7/2005</t>
  </si>
  <si>
    <t>22/12/2008</t>
  </si>
  <si>
    <t>27/10/2010</t>
  </si>
  <si>
    <t>23/3/2011</t>
  </si>
  <si>
    <t>28/3/2011</t>
  </si>
  <si>
    <t>22/4/2011</t>
  </si>
  <si>
    <t>15/11/2011</t>
  </si>
  <si>
    <t>30/6/2012</t>
  </si>
  <si>
    <t>19/7/2012</t>
  </si>
  <si>
    <t>23/7/2012</t>
  </si>
  <si>
    <t>27/8/2014</t>
  </si>
  <si>
    <t>15/1/2015</t>
  </si>
  <si>
    <t>Mbarara</t>
  </si>
  <si>
    <t>25/3/2008</t>
  </si>
  <si>
    <t>29/3/2011</t>
  </si>
  <si>
    <t>14/11/2011</t>
  </si>
  <si>
    <t>26/11/2013</t>
  </si>
  <si>
    <t>Moyo</t>
  </si>
  <si>
    <t>13/11/2012</t>
  </si>
  <si>
    <t>Mpigi</t>
  </si>
  <si>
    <t>31/8/2010</t>
  </si>
  <si>
    <t>16/6/2012</t>
  </si>
  <si>
    <t>Mubende</t>
  </si>
  <si>
    <t>16/11/2012</t>
  </si>
  <si>
    <t>Mukono</t>
  </si>
  <si>
    <t>22/7/2002</t>
  </si>
  <si>
    <t>15/6/2012</t>
  </si>
  <si>
    <t>Nakapiripirit</t>
  </si>
  <si>
    <t>Nebbi</t>
  </si>
  <si>
    <t>19/10/2011</t>
  </si>
  <si>
    <t>Ngariam</t>
  </si>
  <si>
    <t>Ntungamo</t>
  </si>
  <si>
    <t>Pader</t>
  </si>
  <si>
    <t>Pallisa</t>
  </si>
  <si>
    <t>26/4/2013</t>
  </si>
  <si>
    <t>Rakai</t>
  </si>
  <si>
    <t>19/5/2002</t>
  </si>
  <si>
    <t>Rukungiri</t>
  </si>
  <si>
    <t>24/5/2011</t>
  </si>
  <si>
    <t>Sembabule</t>
  </si>
  <si>
    <t>29/11/2011</t>
  </si>
  <si>
    <t>Sironko</t>
  </si>
  <si>
    <t>15/8/2010</t>
  </si>
  <si>
    <t>29/8/2010</t>
  </si>
  <si>
    <t>19/8/2011</t>
  </si>
  <si>
    <t>29/8/2011</t>
  </si>
  <si>
    <t>13/9/2011</t>
  </si>
  <si>
    <t>24/9/2011</t>
  </si>
  <si>
    <t>13/10/2011</t>
  </si>
  <si>
    <t>17/10/2012</t>
  </si>
  <si>
    <t>27/10/2012</t>
  </si>
  <si>
    <t>18/6/2013</t>
  </si>
  <si>
    <t>16/8/2013</t>
  </si>
  <si>
    <t>18/8/2013</t>
  </si>
  <si>
    <t>22/9/2014</t>
  </si>
  <si>
    <t>Soroti</t>
  </si>
  <si>
    <t>29/5/2012</t>
  </si>
  <si>
    <t>13/9/2012</t>
  </si>
  <si>
    <t>13/2/2014</t>
  </si>
  <si>
    <t>28/8/2015</t>
  </si>
  <si>
    <t>Tororo</t>
  </si>
  <si>
    <t>21/9/2010</t>
  </si>
  <si>
    <t>28/11/2013</t>
  </si>
  <si>
    <t>29/1/2015</t>
  </si>
  <si>
    <t>Wakiso</t>
  </si>
  <si>
    <t>23/11/2007</t>
  </si>
  <si>
    <t>13/12/2008</t>
  </si>
  <si>
    <t>16/2/2011</t>
  </si>
  <si>
    <t>18/8/2011</t>
  </si>
  <si>
    <t>16/8/2012</t>
  </si>
  <si>
    <t>24/12/2012</t>
  </si>
  <si>
    <t>18/9/2013</t>
  </si>
  <si>
    <t>20/3/2014</t>
  </si>
  <si>
    <t>24/10/2014</t>
  </si>
  <si>
    <t>20/5/2015</t>
  </si>
  <si>
    <t>Yumbe</t>
  </si>
  <si>
    <t>Mabira</t>
  </si>
  <si>
    <t>Rubaya</t>
  </si>
  <si>
    <t>Nyarubanga</t>
  </si>
  <si>
    <t>Rutooma</t>
  </si>
  <si>
    <t>Benet,Ngenge</t>
  </si>
  <si>
    <t>Benet,Yatui</t>
  </si>
  <si>
    <t>Kween,Kitawoi</t>
  </si>
  <si>
    <t>Kween,Benet,Kitawoi</t>
  </si>
  <si>
    <t>Kween</t>
  </si>
  <si>
    <t>Kween,Ngenge</t>
  </si>
  <si>
    <t>Fort Portal</t>
  </si>
  <si>
    <t>Bazaar</t>
  </si>
  <si>
    <t>Kololo</t>
  </si>
  <si>
    <t>Musa</t>
  </si>
  <si>
    <t>Kanyike</t>
  </si>
  <si>
    <t>Kyanja</t>
  </si>
  <si>
    <t>Buwama</t>
  </si>
  <si>
    <t>Kasozi</t>
  </si>
  <si>
    <t>Bukasa</t>
  </si>
  <si>
    <t>Kiringente,Mpigi</t>
  </si>
  <si>
    <t>Maziba</t>
  </si>
  <si>
    <t>Lwanga</t>
  </si>
  <si>
    <t>Luwunga</t>
  </si>
  <si>
    <t>Kasozi,Lwanga</t>
  </si>
  <si>
    <t>Musa,Maziba</t>
  </si>
  <si>
    <t>Kololo,Bukasa</t>
  </si>
  <si>
    <t>Mawokota,Mpigi,Musa</t>
  </si>
  <si>
    <t>Mpigi,Nkozi</t>
  </si>
  <si>
    <t>Sango</t>
  </si>
  <si>
    <t>Buwama,Mpigi,Mbizzinya,Kayabwe</t>
  </si>
  <si>
    <t>Businge</t>
  </si>
  <si>
    <t>Mpanga</t>
  </si>
  <si>
    <t>Kamwenge,Mpanga</t>
  </si>
  <si>
    <t>Kinoni</t>
  </si>
  <si>
    <t>Ibanda</t>
  </si>
  <si>
    <t>Hima</t>
  </si>
  <si>
    <t>Kilembe</t>
  </si>
  <si>
    <t>Rukoki,Nyakabingo</t>
  </si>
  <si>
    <t>Muhokya,Rukoki,Nyakabingo</t>
  </si>
  <si>
    <t>Busongora,Bugoye,Kilembe,Maliba,Nyakasanga Ii,Nyakasanga I,Mubuku</t>
  </si>
  <si>
    <t>Bugoye,Karusandara,Kilembe,Kitswamba,Maliba,Katiri</t>
  </si>
  <si>
    <t>Bugoye,Karusandara,Kilembe,Maliba,Hima,Bwesumbu,Mubuku</t>
  </si>
  <si>
    <t>Busongora,Karusandara,Kilembe,Rukoki,Mubuku</t>
  </si>
  <si>
    <t>Busongora</t>
  </si>
  <si>
    <t>Busongora,Bugoye,Kilembe,Ibanda</t>
  </si>
  <si>
    <t>Kilembe,Mubuku</t>
  </si>
  <si>
    <t>Bugoye,Kilembe,Maliba,Ibanda,Katiri</t>
  </si>
  <si>
    <t>Kilembe,Maliba,Katiri,Hima,Mubuku</t>
  </si>
  <si>
    <t>Kabirizi</t>
  </si>
  <si>
    <t>Muko</t>
  </si>
  <si>
    <t>Itojo,Ntungamo</t>
  </si>
  <si>
    <t>Ngoma</t>
  </si>
  <si>
    <t>Bududa,Bulucheke</t>
  </si>
  <si>
    <t>Bududa</t>
  </si>
  <si>
    <t>Manjiya,Bududa</t>
  </si>
  <si>
    <t>Bududa,Bukalasi</t>
  </si>
  <si>
    <t>Bududa,Bulucheke,Bukalasi</t>
  </si>
  <si>
    <t>Bududa,Bumayoka,Bukalasi</t>
  </si>
  <si>
    <t>Bumayoka,Bukalasi</t>
  </si>
  <si>
    <t>Manjiya,Bududa,Bukalasi</t>
  </si>
  <si>
    <t>Bududa,Bukibokolo,Bulucheke,Bushiyi</t>
  </si>
  <si>
    <t>Bududa,Bulucheke,Bumayoka</t>
  </si>
  <si>
    <t>Bududa,Bulucheke,Bumwalukani</t>
  </si>
  <si>
    <t>Bududa,Bumwalukani</t>
  </si>
  <si>
    <t>Bududa,Bulucheke,Bushika,Bulobi</t>
  </si>
  <si>
    <t>Bududa,Bulucheke,Bushika</t>
  </si>
  <si>
    <t>Bududa,Bushiyi</t>
  </si>
  <si>
    <t>Bubiita,Bududa,Bulucheke,Bushika,Bumwalukani</t>
  </si>
  <si>
    <t>Bududa,Bumwalukani,Bushiyi</t>
  </si>
  <si>
    <t>Bududa,Bumayoka,Bukalasi,Bushiyi</t>
  </si>
  <si>
    <t>Makerere I,University (Makerere)</t>
  </si>
  <si>
    <t>Kampala,Kawempe Division,Nakawa Division,Banda,Nakawa</t>
  </si>
  <si>
    <t>Kampala,Kawempe Division,Bwaise I,Kawempe I</t>
  </si>
  <si>
    <t>University (Makerere),Wandegeya</t>
  </si>
  <si>
    <t>Kampala,Nakasero I</t>
  </si>
  <si>
    <t>Kampala,Nateete</t>
  </si>
  <si>
    <t>Kampala,Kiswa</t>
  </si>
  <si>
    <t>Kampala,Kawempe Division,Makindye,Bwaise I,Kawempe I,Kyebando,Wandegeya,Makindye I</t>
  </si>
  <si>
    <t>Kampala,Luzira</t>
  </si>
  <si>
    <t>Kampala,Nakawa Division,Kyambogo,Nakawa</t>
  </si>
  <si>
    <t>Kampala,Nakawa</t>
  </si>
  <si>
    <t>University (Makerere)</t>
  </si>
  <si>
    <t>Kampala,Kawempe Division,Bwaise I,Kawempe I,Kyebando</t>
  </si>
  <si>
    <t>Kampala,Makindye,Nakawa</t>
  </si>
  <si>
    <t>Kampala,I.T.E.K</t>
  </si>
  <si>
    <t>Kampala,Mengo,Nakasero Iii,Nakasero I,Lungujja</t>
  </si>
  <si>
    <t>Kampala,Makindye,Lukuli,Makindye I</t>
  </si>
  <si>
    <t>Mengo</t>
  </si>
  <si>
    <t>Kampala,Kawempe Division,Makindye,Bwaise Ii,Kawempe Ii,Mpererwe,Kibuli,Kibuye Ii,Makindye Ii,Bukoto Ii,Nateete,Ndeeba</t>
  </si>
  <si>
    <t>Kampala,Butabika,Mutungo</t>
  </si>
  <si>
    <t>Kampala,Naguru I,Nakawa</t>
  </si>
  <si>
    <t>Kampala,University (Makerere)</t>
  </si>
  <si>
    <t>Katwe I</t>
  </si>
  <si>
    <t>Luzira</t>
  </si>
  <si>
    <t>Kampala,Kawempe Division,Makindye,Rubaga Division,Rubaga</t>
  </si>
  <si>
    <t>Kampala,Bwaise I</t>
  </si>
  <si>
    <t>Kampala,Mengo,Ntinda</t>
  </si>
  <si>
    <t>Kampala,Mengo</t>
  </si>
  <si>
    <t>Kampala,Mengo,Makerere I,University (Makerere)</t>
  </si>
  <si>
    <t>Kyambogo</t>
  </si>
  <si>
    <t>Kampala,Nakasero I,Ntinda</t>
  </si>
  <si>
    <t>Kampala,Banda,Kyambogo</t>
  </si>
  <si>
    <t>Kampala,Mulago I</t>
  </si>
  <si>
    <t>Kampala,Nakawa Division,Bukoto I,Nakawa</t>
  </si>
  <si>
    <t>Kampala,Kasubi</t>
  </si>
  <si>
    <t>Kampala,Wandegeya</t>
  </si>
  <si>
    <t>Kampala,Mutundwe</t>
  </si>
  <si>
    <t>Kampala,Makindye</t>
  </si>
  <si>
    <t>Kampala,Katwe I</t>
  </si>
  <si>
    <t>Kampala,Mengo,Katwe I</t>
  </si>
  <si>
    <t>Kampala,Makindye,Nakawa Division,Nakawa,Ntinda</t>
  </si>
  <si>
    <t>Kampala,Butabika</t>
  </si>
  <si>
    <t>Kampala,Kawempe Division,Kanyanya,Ndeeba</t>
  </si>
  <si>
    <t>Kampala,Rubaga Division,University (Makerere),Kasubi,Nakulabye,Rubaga</t>
  </si>
  <si>
    <t>Kampala,Nateete,Ndeeba</t>
  </si>
  <si>
    <t>Kampala,Ggaba</t>
  </si>
  <si>
    <t>Kampala,Makindye,Rubaga Division,Mengo,Makindye I,Rubaga</t>
  </si>
  <si>
    <t>Kampala,Nakawa Division,Luzira,Nakawa</t>
  </si>
  <si>
    <t>Kampala,Kawempe Division,Makindye</t>
  </si>
  <si>
    <t>Kampala,Makindye,Mulago I,Ggaba,Makindye I</t>
  </si>
  <si>
    <t>Kampala,Ntinda</t>
  </si>
  <si>
    <t>Mulago Iii,Mulago Ii,Mulago I</t>
  </si>
  <si>
    <t>Kampala,Busega,Nateete</t>
  </si>
  <si>
    <t>Kampala,Mengo,University (Makerere)</t>
  </si>
  <si>
    <t>Kampala,Makerere I,University (Makerere),Luzira</t>
  </si>
  <si>
    <t>Kampala,Rubaga Division,Rubaga</t>
  </si>
  <si>
    <t>Kampala,Kisenyi I,Kikaya</t>
  </si>
  <si>
    <t>Kampala,Bwaise I,Kawempe I</t>
  </si>
  <si>
    <t>Kampala,University (Makerere),Wandegeya,Kasubi</t>
  </si>
  <si>
    <t>Kampala,Kawempe Division,Makindye,Nakawa Division,Rubaga Division,Kamwokya I,Kisenyi I,Nakasero I,Kawempe I,Makindye I,Nakawa,Ntinda,Rubaga</t>
  </si>
  <si>
    <t>Kampala,Kawempe Division</t>
  </si>
  <si>
    <t>Kampala,Mengo,Namirembe,Rubaga</t>
  </si>
  <si>
    <t>Kampala,Kamwokya I,Kisenyi I,Mengo,Bwaise I,Makerere I,Kibuli</t>
  </si>
  <si>
    <t>Kampala,University (Makerere),Wandegeya</t>
  </si>
  <si>
    <t>Kampala,Nakawa Division,Nakawa Institutions,Nakawa</t>
  </si>
  <si>
    <t>Kampala,Bukoto I</t>
  </si>
  <si>
    <t>Kampala,Kawempe Division,Ndeeba</t>
  </si>
  <si>
    <t>Makerere I,University (Makerere),Katwe I</t>
  </si>
  <si>
    <t>Rubaga</t>
  </si>
  <si>
    <t>Kampala,Makindye,Luzira</t>
  </si>
  <si>
    <t>Kampala,Luzira,Nakawa</t>
  </si>
  <si>
    <t>Kampala,Kawempe Division,Makindye,Nakawa Division,Rubaga Division,Bwaise I,Kawempe I,Katwe I,Kibuye I,Makindye I,Nakawa,Rubaga</t>
  </si>
  <si>
    <t>Bwaise I</t>
  </si>
  <si>
    <t>Kampala,Kyambogo</t>
  </si>
  <si>
    <t>Kampala,Ndeeba</t>
  </si>
  <si>
    <t>Kampala,Makindye,Bwaise I,Makindye I</t>
  </si>
  <si>
    <t>Kampala,Mengo,Busega,Kasubi,Nateete,Rubaga</t>
  </si>
  <si>
    <t>Kampala,Civic Centre</t>
  </si>
  <si>
    <t>Kampala,Ggaba,Luzira Prisons,Luzira,Nakawa Institutions,Nakawa,Ntinda</t>
  </si>
  <si>
    <t>Kampala,Ggaba,Nakawa,Ntinda</t>
  </si>
  <si>
    <t>Kampala,Rubaga</t>
  </si>
  <si>
    <t>Kampala,Makindye,Mengo,Kyebando,University (Makerere),Kasubi</t>
  </si>
  <si>
    <t>Makindye</t>
  </si>
  <si>
    <t>Makindye,Makindye I</t>
  </si>
  <si>
    <t>Kampala,Makerere I,University (Makerere)</t>
  </si>
  <si>
    <t>Kampala,Rubaga Division,University (Makerere),Luzira,Nateete,Ndeeba,Rubaga</t>
  </si>
  <si>
    <t>Kampala,Banda</t>
  </si>
  <si>
    <t>Kampala,Kamwokya Ii,Kamwokya I,Bwaise Ii,Bwaise I,Ndeeba</t>
  </si>
  <si>
    <t>Bwaise I,Kawempe I</t>
  </si>
  <si>
    <t>Kampala,Busega</t>
  </si>
  <si>
    <t>Kampala,Kamwokya I</t>
  </si>
  <si>
    <t>Kampala,Bwaise I,Makerere I,University (Makerere),Luzira</t>
  </si>
  <si>
    <t>Kampala,University (Makerere),Banda,Luzira</t>
  </si>
  <si>
    <t>Kampala,Kisenyi I,Kawempe I,Rubaga</t>
  </si>
  <si>
    <t>Kampala,Kawempe Division,Makindye,Nakawa Division,Rubaga Division,Nakawa,Rubaga</t>
  </si>
  <si>
    <t>Kampala,Kawempe Division,Kyebando,Kyambogo,Ntinda,Ndeeba</t>
  </si>
  <si>
    <t>Kampala,Luzira,Mutungo</t>
  </si>
  <si>
    <t>Kampala,Mutungo</t>
  </si>
  <si>
    <t>Kampala,Kikaya,Busega</t>
  </si>
  <si>
    <t>Kampala,Kisugu</t>
  </si>
  <si>
    <t>Kampala,Kyambogo,Mbuya I</t>
  </si>
  <si>
    <t>Kampala,Kyambogo,Ndeeba</t>
  </si>
  <si>
    <t>Kampala,Kisenyi I,Ntinda</t>
  </si>
  <si>
    <t>Kampala,Kyambogo,Nateete,Ndeeba</t>
  </si>
  <si>
    <t>Kampala,Kiwatule</t>
  </si>
  <si>
    <t>Kampala,Kibuli</t>
  </si>
  <si>
    <t>Entebbe</t>
  </si>
  <si>
    <t>Kabaale</t>
  </si>
  <si>
    <t>Lwemiyaga</t>
  </si>
  <si>
    <t>Gayaza</t>
  </si>
  <si>
    <t>Kitanda</t>
  </si>
  <si>
    <t>Bukomansimbi</t>
  </si>
  <si>
    <t>Mbale,Namatala</t>
  </si>
  <si>
    <t>Katwe</t>
  </si>
  <si>
    <t>Omoro,Ocokober</t>
  </si>
  <si>
    <t>Alebtong</t>
  </si>
  <si>
    <t>Omoro,Alebtong,Alolololo,Ocokober</t>
  </si>
  <si>
    <t>Anaka</t>
  </si>
  <si>
    <t>Kaabong</t>
  </si>
  <si>
    <t>Buyaga</t>
  </si>
  <si>
    <t>Bulambuli</t>
  </si>
  <si>
    <t>Bulambuli,Buginyanya,Bulago,Bulegeni,Bunambutye,Muyembe,Sisiyi,Namisuni,Bumufuni,Bwikonge,Gibuzale</t>
  </si>
  <si>
    <t>Bulambuli,Buluganya,Sisiyi</t>
  </si>
  <si>
    <t>Bulambuli,Buluganya,Mabono</t>
  </si>
  <si>
    <t>Bulambuli,Bunambutye,Sisiyi,Bwikonge,Mabono</t>
  </si>
  <si>
    <t>Bulambuli,Buginyanya,Bulago,Buluganya,Bunambutye,Bumasobo,Bwikonge</t>
  </si>
  <si>
    <t>Bulambuli,Buluganya,Bumasobo</t>
  </si>
  <si>
    <t>Bulambuli,Gibuzale,Luzzi</t>
  </si>
  <si>
    <t>Bulambuli,Sisiyi,Mabono</t>
  </si>
  <si>
    <t>Bulambuli,Sisiyi,Mbigi,Namisuni,Mabono</t>
  </si>
  <si>
    <t>Budadiri</t>
  </si>
  <si>
    <t>Butandiga,Sironko,Bulambuli</t>
  </si>
  <si>
    <t>Aboke</t>
  </si>
  <si>
    <t>Kole</t>
  </si>
  <si>
    <t>Bala</t>
  </si>
  <si>
    <t>Akalo</t>
  </si>
  <si>
    <t>Kole,Aboke,Akalo,Ayer</t>
  </si>
  <si>
    <t>Oyam</t>
  </si>
  <si>
    <t>Kamdini</t>
  </si>
  <si>
    <t>Omito</t>
  </si>
  <si>
    <t>Chua</t>
  </si>
  <si>
    <t>Okuti</t>
  </si>
  <si>
    <t>Lamola</t>
  </si>
  <si>
    <t>Amuria</t>
  </si>
  <si>
    <t>Amuria,Orungo</t>
  </si>
  <si>
    <t>Amuria,Wera,Olelai</t>
  </si>
  <si>
    <t>Bubulo</t>
  </si>
  <si>
    <t>Bubulo,Bugobero,Kaato</t>
  </si>
  <si>
    <t>Arua Municipality</t>
  </si>
  <si>
    <t>Kibaale</t>
  </si>
  <si>
    <t>Mityana,Kibaale</t>
  </si>
  <si>
    <t>Nakaseeta</t>
  </si>
  <si>
    <t>Mazinga</t>
  </si>
  <si>
    <t>Kabonera</t>
  </si>
  <si>
    <t>Kito</t>
  </si>
  <si>
    <t>Kakindo</t>
  </si>
  <si>
    <t>Pallisa,Gogonyo</t>
  </si>
  <si>
    <t>Gulu,Pawel</t>
  </si>
  <si>
    <t>Atiak</t>
  </si>
  <si>
    <t>Namutumba</t>
  </si>
  <si>
    <t>Kibuku</t>
  </si>
  <si>
    <t>Kibuku,Kapyani,Kasasira</t>
  </si>
  <si>
    <t>Kibuku,Tirinyi</t>
  </si>
  <si>
    <t>Jinja,Masese</t>
  </si>
  <si>
    <t>Kinkiizi</t>
  </si>
  <si>
    <t>Aminit</t>
  </si>
  <si>
    <t>Soroti,Gweri</t>
  </si>
  <si>
    <t>Soroti,Asuret,Aloet</t>
  </si>
  <si>
    <t>Katikamu</t>
  </si>
  <si>
    <t>Kitende</t>
  </si>
  <si>
    <t>Ntoroko</t>
  </si>
  <si>
    <t>Ntoroko,Kanara,Butungama,Bweramule</t>
  </si>
  <si>
    <t>Ntoroko,Rwebisengo,Bweramule</t>
  </si>
  <si>
    <t>Ntoroko,Karugutu,Rwangara,Butungama</t>
  </si>
  <si>
    <t>Ntoroko,Butungama</t>
  </si>
  <si>
    <t>Otuke,Olilim</t>
  </si>
  <si>
    <t>Tororo,Kidoko</t>
  </si>
  <si>
    <t>Tororo,Malaba</t>
  </si>
  <si>
    <t>Tororo,Kwapa,Merikit,Molo,Mukujju</t>
  </si>
  <si>
    <t>Tororo,Osukuru,Amoni,Malaba,Kayoro</t>
  </si>
  <si>
    <t>Kapujan,Katakwi,Magoro,Ngariam,Omodoi,Toroma</t>
  </si>
  <si>
    <t>Katakwi,Ongongoja</t>
  </si>
  <si>
    <t>Ofua</t>
  </si>
  <si>
    <t>Cesia,Lajopi</t>
  </si>
  <si>
    <t>Busoga</t>
  </si>
  <si>
    <t>Matovu</t>
  </si>
  <si>
    <t>Muntu</t>
  </si>
  <si>
    <t>Kochi</t>
  </si>
  <si>
    <t>Kisoro,Bunagana</t>
  </si>
  <si>
    <t>Kisoro,Kirundo,Nyabwishenya</t>
  </si>
  <si>
    <t>Kisoro,Murora</t>
  </si>
  <si>
    <t>Kisoro,Murora,Chibumba</t>
  </si>
  <si>
    <t>Tilling</t>
  </si>
  <si>
    <t>Dufile,Lefori,Moyo</t>
  </si>
  <si>
    <t>Lefori,Moyo</t>
  </si>
  <si>
    <t>Butaleja</t>
  </si>
  <si>
    <t>Vurra</t>
  </si>
  <si>
    <t>Tanganyika</t>
  </si>
  <si>
    <t>Kimuli</t>
  </si>
  <si>
    <t>Pokot,Amudat,Karita</t>
  </si>
  <si>
    <t>Koboko</t>
  </si>
  <si>
    <t>Kakuuto,Kyebe</t>
  </si>
  <si>
    <t>Bunyangabu</t>
  </si>
  <si>
    <t>Buhesi,Kisomoro,Kabonero</t>
  </si>
  <si>
    <t>Kalungu</t>
  </si>
  <si>
    <t>Igara</t>
  </si>
  <si>
    <t>Isingiro</t>
  </si>
  <si>
    <t>Luuka,Irongo,Butimbwa</t>
  </si>
  <si>
    <t>Mentioned Subcounties</t>
  </si>
  <si>
    <t>Publication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</si>
</sst>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4"/>
  <sheetViews>
    <sheetView tabSelected="1" workbookViewId="0" topLeftCell="A1">
      <selection activeCell="B12" sqref="B12"/>
    </sheetView>
  </sheetViews>
  <sheetFormatPr defaultColWidth="9.140625" defaultRowHeight="15"/>
  <cols>
    <col min="1" max="1" width="19.421875" style="3" customWidth="1"/>
    <col min="2" max="2" width="23.28125" style="4" customWidth="1"/>
    <col min="3" max="3" width="33.140625" style="4" customWidth="1"/>
    <col min="4" max="4" width="99.57421875" style="3" customWidth="1"/>
    <col min="5" max="16384" width="9.140625" style="3" customWidth="1"/>
  </cols>
  <sheetData>
    <row r="1" spans="1:4" ht="15.75">
      <c r="A1" s="1" t="s">
        <v>0</v>
      </c>
      <c r="B1" s="2" t="s">
        <v>829</v>
      </c>
      <c r="C1" s="2" t="s">
        <v>828</v>
      </c>
      <c r="D1" s="1" t="s">
        <v>1</v>
      </c>
    </row>
    <row r="2" spans="1:4" ht="15">
      <c r="A2" s="3" t="s">
        <v>2</v>
      </c>
      <c r="B2" s="5">
        <v>40705</v>
      </c>
      <c r="C2" s="4" t="s">
        <v>558</v>
      </c>
      <c r="D2" s="3" t="str">
        <f>HYPERLINK("http://www.newvision.co.ug/news/18933-floods-hit-eastern-uganda.html")</f>
        <v>http://www.newvision.co.ug/news/18933-floods-hit-eastern-uganda.html</v>
      </c>
    </row>
    <row r="3" spans="1:4" ht="15">
      <c r="A3" s="3" t="s">
        <v>2</v>
      </c>
      <c r="B3" s="4" t="s">
        <v>4</v>
      </c>
      <c r="C3" s="4" t="s">
        <v>473</v>
      </c>
      <c r="D3" s="3" t="str">
        <f>HYPERLINK("http://www.monitor.co.ug/News/National/-/688334/1219030/-/bkenr3z/-/index.html")</f>
        <v>http://www.monitor.co.ug/News/National/-/688334/1219030/-/bkenr3z/-/index.html</v>
      </c>
    </row>
    <row r="4" spans="1:4" ht="15">
      <c r="A4" s="3" t="s">
        <v>2</v>
      </c>
      <c r="B4" s="4" t="s">
        <v>3</v>
      </c>
      <c r="C4" s="4" t="s">
        <v>734</v>
      </c>
      <c r="D4" s="3" t="str">
        <f>HYPERLINK("http://www.newvision.co.ug/news/618592-heavy-rains-flood-three-bridges-in-lango-region.html")</f>
        <v>http://www.newvision.co.ug/news/618592-heavy-rains-flood-three-bridges-in-lango-region.html</v>
      </c>
    </row>
    <row r="5" spans="1:4" ht="15">
      <c r="A5" s="3" t="s">
        <v>2</v>
      </c>
      <c r="B5" s="4" t="s">
        <v>5</v>
      </c>
      <c r="C5" s="4" t="s">
        <v>563</v>
      </c>
      <c r="D5" s="3" t="str">
        <f>HYPERLINK("http://www.monitor.co.ug/News/Education/-/688336/712708/-/10dps5l/-/index.html")</f>
        <v>http://www.monitor.co.ug/News/Education/-/688336/712708/-/10dps5l/-/index.html</v>
      </c>
    </row>
    <row r="6" spans="1:4" ht="15">
      <c r="A6" s="3" t="s">
        <v>6</v>
      </c>
      <c r="B6" s="4" t="s">
        <v>7</v>
      </c>
      <c r="C6" s="4" t="s">
        <v>563</v>
      </c>
      <c r="D6" s="3" t="str">
        <f>HYPERLINK("http://www.monitor.co.ug/SpecialReports/Elections/-/859108/1110656/-/k2ytte/-/index.html")</f>
        <v>http://www.monitor.co.ug/SpecialReports/Elections/-/859108/1110656/-/k2ytte/-/index.html</v>
      </c>
    </row>
    <row r="7" spans="1:4" ht="15">
      <c r="A7" s="3" t="s">
        <v>8</v>
      </c>
      <c r="B7" s="5">
        <v>41215</v>
      </c>
      <c r="C7" s="4" t="s">
        <v>757</v>
      </c>
      <c r="D7" s="3" t="str">
        <f>HYPERLINK("http://www.monitor.co.ug/News/National/-/688334/1324524/-/b0sqtdz/-/index.html")</f>
        <v>http://www.monitor.co.ug/News/National/-/688334/1324524/-/b0sqtdz/-/index.html</v>
      </c>
    </row>
    <row r="8" spans="1:4" ht="15">
      <c r="A8" s="3" t="s">
        <v>8</v>
      </c>
      <c r="B8" s="5">
        <v>41801</v>
      </c>
      <c r="C8" s="4" t="s">
        <v>756</v>
      </c>
      <c r="D8" s="3" t="str">
        <f>HYPERLINK("http://www.monitor.co.ug/News/National/UPC-leaders-abandon-Otunnu--endorse-Museveni/-/688334/2512772/-/yfujm3/-/index.html")</f>
        <v>http://www.monitor.co.ug/News/National/UPC-leaders-abandon-Otunnu--endorse-Museveni/-/688334/2512772/-/yfujm3/-/index.html</v>
      </c>
    </row>
    <row r="9" spans="1:4" ht="15">
      <c r="A9" s="3" t="s">
        <v>8</v>
      </c>
      <c r="B9" s="4" t="s">
        <v>12</v>
      </c>
      <c r="C9" s="4" t="s">
        <v>620</v>
      </c>
      <c r="D9" s="3" t="str">
        <f>HYPERLINK("http://www.monitor.co.ug/OpEd/Commentary/-/689364/1089426/-/13rfsfxz/-/index.html")</f>
        <v>http://www.monitor.co.ug/OpEd/Commentary/-/689364/1089426/-/13rfsfxz/-/index.html</v>
      </c>
    </row>
    <row r="10" spans="1:4" ht="15">
      <c r="A10" s="3" t="s">
        <v>8</v>
      </c>
      <c r="B10" s="4" t="s">
        <v>15</v>
      </c>
      <c r="C10" s="4" t="s">
        <v>753</v>
      </c>
      <c r="D10" s="3" t="str">
        <f>HYPERLINK("http://www.monitor.co.ug/News/National/Heavy-rains-destroy-Apac-roads/-/688334/2490066/-/b2muqf/-/index.html")</f>
        <v>http://www.monitor.co.ug/News/National/Heavy-rains-destroy-Apac-roads/-/688334/2490066/-/b2muqf/-/index.html</v>
      </c>
    </row>
    <row r="11" spans="1:4" ht="15">
      <c r="A11" s="3" t="s">
        <v>8</v>
      </c>
      <c r="B11" s="4" t="s">
        <v>15</v>
      </c>
      <c r="C11" s="4" t="s">
        <v>753</v>
      </c>
      <c r="D11" s="3" t="str">
        <f>HYPERLINK("http://www.monitor.co.ug/News/National/Heavy-rains-destroy-Apac-roads/-/688334/2490066/-/b2muqf/-/index.html")</f>
        <v>http://www.monitor.co.ug/News/National/Heavy-rains-destroy-Apac-roads/-/688334/2490066/-/b2muqf/-/index.html</v>
      </c>
    </row>
    <row r="12" spans="1:4" ht="15">
      <c r="A12" s="3" t="s">
        <v>8</v>
      </c>
      <c r="B12" s="4" t="s">
        <v>16</v>
      </c>
      <c r="C12" s="4" t="s">
        <v>753</v>
      </c>
      <c r="D12" s="3" t="str">
        <f>HYPERLINK("http://www.monitor.co.ug/SpecialReports/Kole-Woman-MP--seat--race--momentum/-/688342/2637436/-/s8xc3l/-/index.html")</f>
        <v>http://www.monitor.co.ug/SpecialReports/Kole-Woman-MP--seat--race--momentum/-/688342/2637436/-/s8xc3l/-/index.html</v>
      </c>
    </row>
    <row r="13" spans="1:4" ht="15">
      <c r="A13" s="3" t="s">
        <v>8</v>
      </c>
      <c r="B13" s="4" t="s">
        <v>13</v>
      </c>
      <c r="C13" s="4" t="s">
        <v>754</v>
      </c>
      <c r="D13" s="3" t="str">
        <f>HYPERLINK("http://www.monitor.co.ug/News/National/Floods-cut-off-Apac-roads/-/688334/1519598/-/xob1smz/-/index.html")</f>
        <v>http://www.monitor.co.ug/News/National/Floods-cut-off-Apac-roads/-/688334/1519598/-/xob1smz/-/index.html</v>
      </c>
    </row>
    <row r="14" spans="1:4" ht="15">
      <c r="A14" s="3" t="s">
        <v>8</v>
      </c>
      <c r="B14" s="4" t="s">
        <v>10</v>
      </c>
      <c r="C14" s="4" t="s">
        <v>426</v>
      </c>
      <c r="D14" s="3" t="str">
        <f>HYPERLINK("http://www.monitor.co.ug/Magazines/Farming/-/689860/832756/-/wrwf5n/-/index.html")</f>
        <v>http://www.monitor.co.ug/Magazines/Farming/-/689860/832756/-/wrwf5n/-/index.html</v>
      </c>
    </row>
    <row r="15" spans="1:4" ht="15">
      <c r="A15" s="3" t="s">
        <v>17</v>
      </c>
      <c r="B15" s="5">
        <v>40726</v>
      </c>
      <c r="C15" s="4" t="s">
        <v>768</v>
      </c>
      <c r="D15" s="3" t="str">
        <f>HYPERLINK("http://www.monitor.co.ug/SpecialReports/Elections/-/859108/1102630/-/k2eoih/-/index.html")</f>
        <v>http://www.monitor.co.ug/SpecialReports/Elections/-/859108/1102630/-/k2eoih/-/index.html</v>
      </c>
    </row>
    <row r="16" spans="1:4" ht="15">
      <c r="A16" s="3" t="s">
        <v>17</v>
      </c>
      <c r="B16" s="5">
        <v>40764</v>
      </c>
      <c r="C16" s="4" t="s">
        <v>820</v>
      </c>
      <c r="D16" s="3" t="str">
        <f>HYPERLINK("http://www.monitor.co.ug/News/National/-/688334/1232274/-/bjbej3z/-/index.html")</f>
        <v>http://www.monitor.co.ug/News/National/-/688334/1232274/-/bjbej3z/-/index.html</v>
      </c>
    </row>
    <row r="17" spans="1:4" ht="15">
      <c r="A17" s="3" t="s">
        <v>17</v>
      </c>
      <c r="B17" s="5">
        <v>41619</v>
      </c>
      <c r="C17" s="4" t="s">
        <v>502</v>
      </c>
      <c r="D17" s="3" t="str">
        <f>HYPERLINK("http://www.monitor.co.ug/SpecialReports/Hope-fades-as-oil-companies-hit-dry-wells/-/688342/2069310/-/9geioqz/-/index.html")</f>
        <v>http://www.monitor.co.ug/SpecialReports/Hope-fades-as-oil-companies-hit-dry-wells/-/688342/2069310/-/9geioqz/-/index.html</v>
      </c>
    </row>
    <row r="18" spans="1:4" ht="15">
      <c r="A18" s="3" t="s">
        <v>17</v>
      </c>
      <c r="B18" s="4" t="s">
        <v>19</v>
      </c>
      <c r="C18" s="4" t="s">
        <v>128</v>
      </c>
      <c r="D18" s="3" t="str">
        <f>HYPERLINK("http://www.monitor.co.ug/OpEd/Letters/-/806314/737970/-/3gcn7cz/-/index.html")</f>
        <v>http://www.monitor.co.ug/OpEd/Letters/-/806314/737970/-/3gcn7cz/-/index.html</v>
      </c>
    </row>
    <row r="19" spans="1:4" ht="15">
      <c r="A19" s="3" t="s">
        <v>17</v>
      </c>
      <c r="B19" s="4" t="s">
        <v>22</v>
      </c>
      <c r="C19" s="4" t="s">
        <v>768</v>
      </c>
      <c r="D19" s="3" t="str">
        <f>HYPERLINK("http://www.monitor.co.ug/News/National/-/688334/1329064/-/b0pe29z/-/index.html")</f>
        <v>http://www.monitor.co.ug/News/National/-/688334/1329064/-/b0pe29z/-/index.html</v>
      </c>
    </row>
    <row r="20" spans="1:4" ht="15">
      <c r="A20" s="3" t="s">
        <v>17</v>
      </c>
      <c r="B20" s="4" t="s">
        <v>25</v>
      </c>
      <c r="C20" s="4" t="s">
        <v>816</v>
      </c>
      <c r="D20" s="3" t="str">
        <f>HYPERLINK("http://www.monitor.co.ug/SpecialReports/Wadri-expects-landslide-victory-again-in-Terego-County/-/688342/2530834/-/1i0irs/-/index.html")</f>
        <v>http://www.monitor.co.ug/SpecialReports/Wadri-expects-landslide-victory-again-in-Terego-County/-/688342/2530834/-/1i0irs/-/index.html</v>
      </c>
    </row>
    <row r="21" spans="1:4" ht="15">
      <c r="A21" s="3" t="s">
        <v>17</v>
      </c>
      <c r="B21" s="4" t="s">
        <v>25</v>
      </c>
      <c r="C21" s="4" t="s">
        <v>816</v>
      </c>
      <c r="D21" s="3" t="str">
        <f>HYPERLINK("http://www.monitor.co.ug/SpecialReports/Wadri-expects-landslide-victory-again-in-Terego-County/-/688342/2530834/-/1i0irs/-/index.html")</f>
        <v>http://www.monitor.co.ug/SpecialReports/Wadri-expects-landslide-victory-again-in-Terego-County/-/688342/2530834/-/1i0irs/-/index.html</v>
      </c>
    </row>
    <row r="22" spans="1:4" ht="15">
      <c r="A22" s="3" t="s">
        <v>17</v>
      </c>
      <c r="B22" s="4" t="s">
        <v>20</v>
      </c>
      <c r="C22" s="4" t="s">
        <v>643</v>
      </c>
      <c r="D22" s="3" t="str">
        <f>HYPERLINK("http://www.monitor.co.ug/News/National/-/688334/761940/-/vyfhy6/-/index.html")</f>
        <v>http://www.monitor.co.ug/News/National/-/688334/761940/-/vyfhy6/-/index.html</v>
      </c>
    </row>
    <row r="23" spans="1:4" ht="15">
      <c r="A23" s="3" t="s">
        <v>17</v>
      </c>
      <c r="B23" s="4" t="s">
        <v>24</v>
      </c>
      <c r="C23" s="4" t="s">
        <v>803</v>
      </c>
      <c r="D23" s="3" t="str">
        <f>HYPERLINK("http://www.monitor.co.ug/SpecialReports/Landlords-invade-wetlands-in-West-Nile/-/688342/1972906/-/rvvnj8/-/index.html")</f>
        <v>http://www.monitor.co.ug/SpecialReports/Landlords-invade-wetlands-in-West-Nile/-/688342/1972906/-/rvvnj8/-/index.html</v>
      </c>
    </row>
    <row r="24" spans="1:4" ht="15">
      <c r="A24" s="3" t="s">
        <v>17</v>
      </c>
      <c r="B24" s="4" t="s">
        <v>21</v>
      </c>
      <c r="C24" s="4" t="s">
        <v>802</v>
      </c>
      <c r="D24" s="3" t="str">
        <f>HYPERLINK("http://www.monitor.co.ug/News/National/-/688334/1228158/-/bjsschz/-/index.html")</f>
        <v>http://www.monitor.co.ug/News/National/-/688334/1228158/-/bjsschz/-/index.html</v>
      </c>
    </row>
    <row r="25" spans="1:4" ht="15">
      <c r="A25" s="3" t="s">
        <v>27</v>
      </c>
      <c r="B25" s="5">
        <v>41791</v>
      </c>
      <c r="C25" s="4" t="s">
        <v>598</v>
      </c>
      <c r="D25" s="3" t="str">
        <f>HYPERLINK("http://www.monitor.co.ug/News/National/Food-shortage-looms-in-Rwenzori-region/-/688334/2135476/-/s54vb7/-/index.html")</f>
        <v>http://www.monitor.co.ug/News/National/Food-shortage-looms-in-Rwenzori-region/-/688334/2135476/-/s54vb7/-/index.html</v>
      </c>
    </row>
    <row r="26" spans="1:4" ht="15">
      <c r="A26" s="3" t="s">
        <v>27</v>
      </c>
      <c r="B26" s="4" t="s">
        <v>28</v>
      </c>
      <c r="C26" s="4" t="s">
        <v>128</v>
      </c>
      <c r="D26" s="3" t="str">
        <f>HYPERLINK("http://www.monitor.co.ug/Business/Commodities/-/688610/750708/-/gwhp7v/-/index.html")</f>
        <v>http://www.monitor.co.ug/Business/Commodities/-/688610/750708/-/gwhp7v/-/index.html</v>
      </c>
    </row>
    <row r="27" spans="1:4" ht="15">
      <c r="A27" s="3" t="s">
        <v>27</v>
      </c>
      <c r="B27" s="4" t="s">
        <v>29</v>
      </c>
      <c r="C27" s="4" t="s">
        <v>405</v>
      </c>
      <c r="D27" s="3" t="str">
        <f>HYPERLINK("http://www.monitor.co.ug/News/National/Woman-sues-fianc--over-wedding/-/688334/1485784/-/fgff4p/-/index.html")</f>
        <v>http://www.monitor.co.ug/News/National/Woman-sues-fianc--over-wedding/-/688334/1485784/-/fgff4p/-/index.html</v>
      </c>
    </row>
    <row r="28" spans="1:4" ht="15">
      <c r="A28" s="3" t="s">
        <v>27</v>
      </c>
      <c r="B28" s="4" t="s">
        <v>30</v>
      </c>
      <c r="C28" s="4" t="s">
        <v>128</v>
      </c>
      <c r="D28" s="3" t="str">
        <f>HYPERLINK("http://www.monitor.co.ug/News/National/Woman-rejects-Shs2m-pay-offer-for-cancelled-wedding/-/688334/1629726/-/2vw5lh/-/index.html")</f>
        <v>http://www.monitor.co.ug/News/National/Woman-rejects-Shs2m-pay-offer-for-cancelled-wedding/-/688334/1629726/-/2vw5lh/-/index.html</v>
      </c>
    </row>
    <row r="29" spans="1:4" ht="15">
      <c r="A29" s="3" t="s">
        <v>31</v>
      </c>
      <c r="B29" s="5">
        <v>40637</v>
      </c>
      <c r="C29" s="4" t="s">
        <v>584</v>
      </c>
      <c r="D29" s="3" t="str">
        <f>HYPERLINK("http://www.monitor.co.ug/News/Education/-/688336/1138176/-/ehig59/-/index.html")</f>
        <v>http://www.monitor.co.ug/News/Education/-/688336/1138176/-/ehig59/-/index.html</v>
      </c>
    </row>
    <row r="30" spans="1:4" ht="15">
      <c r="A30" s="3" t="s">
        <v>31</v>
      </c>
      <c r="B30" s="5">
        <v>40703</v>
      </c>
      <c r="C30" s="4" t="s">
        <v>563</v>
      </c>
      <c r="D30" s="3" t="str">
        <f>HYPERLINK("http://www.monitor.co.ug/News/National/-/688334/1231060/-/bjc5g6z/-/index.html")</f>
        <v>http://www.monitor.co.ug/News/National/-/688334/1231060/-/bjc5g6z/-/index.html</v>
      </c>
    </row>
    <row r="31" spans="1:4" ht="15">
      <c r="A31" s="3" t="s">
        <v>31</v>
      </c>
      <c r="B31" s="5">
        <v>40703</v>
      </c>
      <c r="C31" s="4" t="s">
        <v>563</v>
      </c>
      <c r="D31" s="3" t="str">
        <f>HYPERLINK("http://www.newvision.co.ug/news/1753-rwenzori-residents-told-to-vacate-steep-slopes.html")</f>
        <v>http://www.newvision.co.ug/news/1753-rwenzori-residents-told-to-vacate-steep-slopes.html</v>
      </c>
    </row>
    <row r="32" spans="1:4" ht="15">
      <c r="A32" s="3" t="s">
        <v>31</v>
      </c>
      <c r="B32" s="5">
        <v>40703</v>
      </c>
      <c r="C32" s="4" t="s">
        <v>563</v>
      </c>
      <c r="D32" s="3" t="str">
        <f>HYPERLINK("http://www.newvision.co.ug/news/316518-rwenzori-residents-told-to-vacate-steep-slopes.html")</f>
        <v>http://www.newvision.co.ug/news/316518-rwenzori-residents-told-to-vacate-steep-slopes.html</v>
      </c>
    </row>
    <row r="33" spans="1:4" ht="15">
      <c r="A33" s="3" t="s">
        <v>31</v>
      </c>
      <c r="B33" s="5">
        <v>41093</v>
      </c>
      <c r="C33" s="4" t="s">
        <v>407</v>
      </c>
      <c r="D33" s="3" t="str">
        <f>HYPERLINK("http://www.newvision.co.ug/news/629448-congolese-immigrants-flood-uganda.html")</f>
        <v>http://www.newvision.co.ug/news/629448-congolese-immigrants-flood-uganda.html</v>
      </c>
    </row>
    <row r="34" spans="1:4" ht="15">
      <c r="A34" s="3" t="s">
        <v>31</v>
      </c>
      <c r="B34" s="5">
        <v>41217</v>
      </c>
      <c r="C34" s="4" t="s">
        <v>586</v>
      </c>
      <c r="D34" s="3" t="str">
        <f>HYPERLINK("http://www.monitor.co.ug/News/National/-/688334/1383868/-/aw55bmz/-/index.html")</f>
        <v>http://www.monitor.co.ug/News/National/-/688334/1383868/-/aw55bmz/-/index.html</v>
      </c>
    </row>
    <row r="35" spans="1:4" ht="15">
      <c r="A35" s="3" t="s">
        <v>31</v>
      </c>
      <c r="B35" s="5">
        <v>41254</v>
      </c>
      <c r="C35" s="4" t="s">
        <v>769</v>
      </c>
      <c r="D35" s="3" t="str">
        <f>HYPERLINK("http://www.monitor.co.ug/News/National/Floods-displace-Bunyoro-residents/-/688334/1617464/-/5yloyi/-/index.html")</f>
        <v>http://www.monitor.co.ug/News/National/Floods-displace-Bunyoro-residents/-/688334/1617464/-/5yloyi/-/index.html</v>
      </c>
    </row>
    <row r="36" spans="1:4" ht="15">
      <c r="A36" s="3" t="s">
        <v>31</v>
      </c>
      <c r="B36" s="5">
        <v>41310</v>
      </c>
      <c r="C36" s="4" t="s">
        <v>563</v>
      </c>
      <c r="D36" s="3" t="str">
        <f>HYPERLINK("http://www.newvision.co.ug/news/642287-govt-to-send-aid-to-kasese-floods-victims.html")</f>
        <v>http://www.newvision.co.ug/news/642287-govt-to-send-aid-to-kasese-floods-victims.html</v>
      </c>
    </row>
    <row r="37" spans="1:4" ht="15">
      <c r="A37" s="3" t="s">
        <v>31</v>
      </c>
      <c r="B37" s="5">
        <v>41554</v>
      </c>
      <c r="C37" s="4" t="s">
        <v>407</v>
      </c>
      <c r="D37" s="3" t="str">
        <f>HYPERLINK("http://www.monitor.co.ug/Magazines/Farming/Food-prices-stable-despite-floods-destruction/-/689860/1909892/-/gkcfw0/-/index.html")</f>
        <v>http://www.monitor.co.ug/Magazines/Farming/Food-prices-stable-despite-floods-destruction/-/689860/1909892/-/gkcfw0/-/index.html</v>
      </c>
    </row>
    <row r="38" spans="1:4" ht="15">
      <c r="A38" s="3" t="s">
        <v>31</v>
      </c>
      <c r="B38" s="5">
        <v>41681</v>
      </c>
      <c r="C38" s="4" t="s">
        <v>792</v>
      </c>
      <c r="D38" s="3" t="str">
        <f>HYPERLINK("http://www.monitor.co.ug/News/National/Floods-displace-500-in-Ntoroko-/-/688334/2507416/-/10odvtxz/-/index.html")</f>
        <v>http://www.monitor.co.ug/News/National/Floods-displace-500-in-Ntoroko-/-/688334/2507416/-/10odvtxz/-/index.html</v>
      </c>
    </row>
    <row r="39" spans="1:4" ht="15">
      <c r="A39" s="3" t="s">
        <v>31</v>
      </c>
      <c r="B39" s="5">
        <v>41709</v>
      </c>
      <c r="C39" s="4" t="s">
        <v>719</v>
      </c>
      <c r="D39" s="3" t="str">
        <f>HYPERLINK("http://www.monitor.co.ug/News/National/Floods-displace-400-as-PLE-starts/-/688334/2508228/-/n04oimz/-/index.html")</f>
        <v>http://www.monitor.co.ug/News/National/Floods-displace-400-as-PLE-starts/-/688334/2508228/-/n04oimz/-/index.html</v>
      </c>
    </row>
    <row r="40" spans="1:4" ht="15">
      <c r="A40" s="3" t="s">
        <v>31</v>
      </c>
      <c r="B40" s="5">
        <v>41709</v>
      </c>
      <c r="C40" s="4" t="s">
        <v>780</v>
      </c>
      <c r="D40" s="3" t="str">
        <f>HYPERLINK("http://www.monitor.co.ug/News/National/Emergency-examination-centers-established-in-Ntoroko/-/688334/2508880/-/wfk6o5/-/index.html")</f>
        <v>http://www.monitor.co.ug/News/National/Emergency-examination-centers-established-in-Ntoroko/-/688334/2508880/-/wfk6o5/-/index.html</v>
      </c>
    </row>
    <row r="41" spans="1:4" ht="15">
      <c r="A41" s="3" t="s">
        <v>31</v>
      </c>
      <c r="B41" s="5">
        <v>41740</v>
      </c>
      <c r="C41" s="4" t="s">
        <v>790</v>
      </c>
      <c r="D41" s="3" t="str">
        <f>HYPERLINK("http://www.monitor.co.ug/OpEd/Editorial/Displaced-PLE-pupils--Early-planning-crucial/-/689360/2509262/-/138itlb/-/index.html")</f>
        <v>http://www.monitor.co.ug/OpEd/Editorial/Displaced-PLE-pupils--Early-planning-crucial/-/689360/2509262/-/138itlb/-/index.html</v>
      </c>
    </row>
    <row r="42" spans="1:4" ht="15">
      <c r="A42" s="3" t="s">
        <v>31</v>
      </c>
      <c r="B42" s="5">
        <v>41740</v>
      </c>
      <c r="C42" s="4" t="s">
        <v>793</v>
      </c>
      <c r="D42" s="3" t="str">
        <f>HYPERLINK("http://www.monitor.co.ug/News/National/Pupils-sit-exams-on-empty-stomachs/-/688334/2509466/-/twt1sy/-/index.html")</f>
        <v>http://www.monitor.co.ug/News/National/Pupils-sit-exams-on-empty-stomachs/-/688334/2509466/-/twt1sy/-/index.html</v>
      </c>
    </row>
    <row r="43" spans="1:4" ht="15">
      <c r="A43" s="3" t="s">
        <v>31</v>
      </c>
      <c r="B43" s="5">
        <v>41856</v>
      </c>
      <c r="C43" s="4" t="s">
        <v>595</v>
      </c>
      <c r="D43" s="3" t="str">
        <f>HYPERLINK("http://www.newvision.co.ug/news/655366-kasese-floods-2-dead-195-evacuated.html")</f>
        <v>http://www.newvision.co.ug/news/655366-kasese-floods-2-dead-195-evacuated.html</v>
      </c>
    </row>
    <row r="44" spans="1:4" ht="15">
      <c r="A44" s="3" t="s">
        <v>31</v>
      </c>
      <c r="B44" s="5">
        <v>41856</v>
      </c>
      <c r="C44" s="4" t="s">
        <v>563</v>
      </c>
      <c r="D44" s="3" t="str">
        <f>HYPERLINK("http://www.newvision.co.ug/news/655378-five-perish-as-fresh-floods-hit-kasese.html")</f>
        <v>http://www.newvision.co.ug/news/655378-five-perish-as-fresh-floods-hit-kasese.html</v>
      </c>
    </row>
    <row r="45" spans="1:4" ht="15">
      <c r="A45" s="3" t="s">
        <v>31</v>
      </c>
      <c r="B45" s="5">
        <v>41862</v>
      </c>
      <c r="C45" s="4" t="s">
        <v>563</v>
      </c>
      <c r="D45" s="3" t="str">
        <f>HYPERLINK("http://www.monitor.co.ug/News/National/Solve-Ntoroko-flood-problem--RDC-tells-vice-president/-/688334/2514240/-/d05t0qz/-/index.html")</f>
        <v>http://www.monitor.co.ug/News/National/Solve-Ntoroko-flood-problem--RDC-tells-vice-president/-/688334/2514240/-/d05t0qz/-/index.html</v>
      </c>
    </row>
    <row r="46" spans="1:4" ht="15">
      <c r="A46" s="3" t="s">
        <v>31</v>
      </c>
      <c r="B46" s="5">
        <v>41893</v>
      </c>
      <c r="C46" s="4" t="s">
        <v>563</v>
      </c>
      <c r="D46" s="3" t="str">
        <f>HYPERLINK("http://www.monitor.co.ug/News/National/Thanks-for-relief-items--but-fix-flooding-too---Ntoroko-leaders/-/688334/2516056/-/13gldmd/-/index.html")</f>
        <v>http://www.monitor.co.ug/News/National/Thanks-for-relief-items--but-fix-flooding-too---Ntoroko-leaders/-/688334/2516056/-/13gldmd/-/index.html</v>
      </c>
    </row>
    <row r="47" spans="1:4" ht="15">
      <c r="A47" s="3" t="s">
        <v>31</v>
      </c>
      <c r="B47" s="4" t="s">
        <v>39</v>
      </c>
      <c r="C47" s="4" t="s">
        <v>94</v>
      </c>
      <c r="D47" s="3" t="str">
        <f>HYPERLINK("http://www.monitor.co.ug/artsculture/Reviews/The-kasese-river-that-got-angry/-/691232/1851156/-/2b1210z/-/index.html")</f>
        <v>http://www.monitor.co.ug/artsculture/Reviews/The-kasese-river-that-got-angry/-/691232/1851156/-/2b1210z/-/index.html</v>
      </c>
    </row>
    <row r="48" spans="1:4" ht="15">
      <c r="A48" s="3" t="s">
        <v>31</v>
      </c>
      <c r="B48" s="4" t="s">
        <v>37</v>
      </c>
      <c r="C48" s="4" t="s">
        <v>791</v>
      </c>
      <c r="D48" s="3" t="str">
        <f>HYPERLINK("http://www.newvision.co.ug/news/636471-ntoroko-flood-victims-call-for-more-relief.html")</f>
        <v>http://www.newvision.co.ug/news/636471-ntoroko-flood-victims-call-for-more-relief.html</v>
      </c>
    </row>
    <row r="49" spans="1:4" ht="15">
      <c r="A49" s="3" t="s">
        <v>31</v>
      </c>
      <c r="B49" s="4" t="s">
        <v>43</v>
      </c>
      <c r="C49" s="4" t="s">
        <v>726</v>
      </c>
      <c r="D49" s="3" t="str">
        <f>HYPERLINK("http://www.monitor.co.ug/News/National/Museveni-grants-new-MP-slot-to-Ntoroko/-/688334/2075130/-/15bgf11z/-/index.html")</f>
        <v>http://www.monitor.co.ug/News/National/Museveni-grants-new-MP-slot-to-Ntoroko/-/688334/2075130/-/15bgf11z/-/index.html</v>
      </c>
    </row>
    <row r="50" spans="1:4" ht="15">
      <c r="A50" s="3" t="s">
        <v>31</v>
      </c>
      <c r="B50" s="4" t="s">
        <v>40</v>
      </c>
      <c r="C50" s="4" t="s">
        <v>563</v>
      </c>
      <c r="D50" s="3" t="str">
        <f>HYPERLINK("http://www.newvision.co.ug/news/642811-somali-community-supports-kasese-flood-victims.html")</f>
        <v>http://www.newvision.co.ug/news/642811-somali-community-supports-kasese-flood-victims.html</v>
      </c>
    </row>
    <row r="51" spans="1:4" ht="15">
      <c r="A51" s="3" t="s">
        <v>31</v>
      </c>
      <c r="B51" s="4" t="s">
        <v>45</v>
      </c>
      <c r="C51" s="4" t="s">
        <v>563</v>
      </c>
      <c r="D51" s="3" t="str">
        <f>HYPERLINK("http://www.monitor.co.ug/News/National/Leaders-want-govt-to-build-bridges-on-R--Nyamwamba/-/688334/2524412/-/3hl0owz/-/index.html")</f>
        <v>http://www.monitor.co.ug/News/National/Leaders-want-govt-to-build-bridges-on-R--Nyamwamba/-/688334/2524412/-/3hl0owz/-/index.html</v>
      </c>
    </row>
    <row r="52" spans="1:4" ht="15">
      <c r="A52" s="3" t="s">
        <v>31</v>
      </c>
      <c r="B52" s="4" t="s">
        <v>41</v>
      </c>
      <c r="C52" s="4" t="s">
        <v>562</v>
      </c>
      <c r="D52" s="3" t="str">
        <f>HYPERLINK("http://www.newvision.co.ug/news/642867-kitende-face-zana-in-copa-final.html")</f>
        <v>http://www.newvision.co.ug/news/642867-kitende-face-zana-in-copa-final.html</v>
      </c>
    </row>
    <row r="53" spans="1:4" ht="15">
      <c r="A53" s="3" t="s">
        <v>31</v>
      </c>
      <c r="B53" s="4" t="s">
        <v>46</v>
      </c>
      <c r="C53" s="4" t="s">
        <v>794</v>
      </c>
      <c r="D53" s="3" t="str">
        <f>HYPERLINK("http://www.monitor.co.ug/News/National/Ntoroko-leaders-reject-relief-items-from-Tooro/-/688334/2526890/-/14u4j2g/-/index.html")</f>
        <v>http://www.monitor.co.ug/News/National/Ntoroko-leaders-reject-relief-items-from-Tooro/-/688334/2526890/-/14u4j2g/-/index.html</v>
      </c>
    </row>
    <row r="54" spans="1:4" ht="15">
      <c r="A54" s="3" t="s">
        <v>31</v>
      </c>
      <c r="B54" s="4" t="s">
        <v>33</v>
      </c>
      <c r="C54" s="4" t="s">
        <v>563</v>
      </c>
      <c r="D54" s="3" t="str">
        <f>HYPERLINK("http://www.newvision.co.ug/news/612900-bududa-resettlement-starts.html")</f>
        <v>http://www.newvision.co.ug/news/612900-bududa-resettlement-starts.html</v>
      </c>
    </row>
    <row r="55" spans="1:4" ht="15">
      <c r="A55" s="3" t="s">
        <v>31</v>
      </c>
      <c r="B55" s="4" t="s">
        <v>34</v>
      </c>
      <c r="C55" s="4" t="s">
        <v>460</v>
      </c>
      <c r="D55" s="3" t="str">
        <f>HYPERLINK("http://www.newvision.co.ug/news/610816-floods-ravage-rwenzori-region.html")</f>
        <v>http://www.newvision.co.ug/news/610816-floods-ravage-rwenzori-region.html</v>
      </c>
    </row>
    <row r="56" spans="1:4" ht="15">
      <c r="A56" s="3" t="s">
        <v>31</v>
      </c>
      <c r="B56" s="4" t="s">
        <v>35</v>
      </c>
      <c r="C56" s="4" t="s">
        <v>587</v>
      </c>
      <c r="D56" s="3" t="str">
        <f>HYPERLINK("http://www.monitor.co.ug/News/National/Kasese-landslides-claim-four/-/688334/1409270/-/vo5qh5z/-/index.html")</f>
        <v>http://www.monitor.co.ug/News/National/Kasese-landslides-claim-four/-/688334/1409270/-/vo5qh5z/-/index.html</v>
      </c>
    </row>
    <row r="57" spans="1:4" ht="15">
      <c r="A57" s="3" t="s">
        <v>31</v>
      </c>
      <c r="B57" s="4" t="s">
        <v>44</v>
      </c>
      <c r="C57" s="4" t="s">
        <v>597</v>
      </c>
      <c r="D57" s="3" t="str">
        <f>HYPERLINK("http://www.newvision.co.ug/news/655768-floods-kasese-sets-up-early-warning-system.html")</f>
        <v>http://www.newvision.co.ug/news/655768-floods-kasese-sets-up-early-warning-system.html</v>
      </c>
    </row>
    <row r="58" spans="1:4" ht="15">
      <c r="A58" s="3" t="s">
        <v>31</v>
      </c>
      <c r="B58" s="4" t="s">
        <v>36</v>
      </c>
      <c r="C58" s="4" t="s">
        <v>588</v>
      </c>
      <c r="D58" s="3" t="str">
        <f>HYPERLINK("http://www.newvision.co.ug/news/631276-landslides-kill-six-in-kasese.html")</f>
        <v>http://www.newvision.co.ug/news/631276-landslides-kill-six-in-kasese.html</v>
      </c>
    </row>
    <row r="59" spans="1:4" ht="15">
      <c r="A59" s="3" t="s">
        <v>31</v>
      </c>
      <c r="B59" s="4" t="s">
        <v>47</v>
      </c>
      <c r="C59" s="4" t="s">
        <v>783</v>
      </c>
      <c r="D59" s="3" t="str">
        <f>HYPERLINK("http://www.monitor.co.ug/artsculture/Reviews/Jinja-Market--A-new-building-cracking-away/-/691232/2724780/-/fx4fw9/-/index.html")</f>
        <v>http://www.monitor.co.ug/artsculture/Reviews/Jinja-Market--A-new-building-cracking-away/-/691232/2724780/-/fx4fw9/-/index.html</v>
      </c>
    </row>
    <row r="60" spans="1:4" ht="15">
      <c r="A60" s="3" t="s">
        <v>31</v>
      </c>
      <c r="B60" s="4" t="s">
        <v>42</v>
      </c>
      <c r="C60" s="4" t="s">
        <v>128</v>
      </c>
      <c r="D60" s="3" t="str">
        <f>HYPERLINK("http://www.monitor.co.ug/Magazines/Farming/Positive-outlook-for-food-supply-and-prices/-/689860/1894188/-/10chw6uz/-/index.html")</f>
        <v>http://www.monitor.co.ug/Magazines/Farming/Positive-outlook-for-food-supply-and-prices/-/689860/1894188/-/10chw6uz/-/index.html</v>
      </c>
    </row>
    <row r="61" spans="1:4" ht="15">
      <c r="A61" s="3" t="s">
        <v>31</v>
      </c>
      <c r="B61" s="4" t="s">
        <v>32</v>
      </c>
      <c r="C61" s="4" t="s">
        <v>563</v>
      </c>
      <c r="D61" s="3" t="str">
        <f>HYPERLINK("http://www.monitor.co.ug/News/Education/-/688336/788646/-/10i5pmu/-/index.html")</f>
        <v>http://www.monitor.co.ug/News/Education/-/688336/788646/-/10i5pmu/-/index.html</v>
      </c>
    </row>
    <row r="62" spans="1:4" ht="15">
      <c r="A62" s="3" t="s">
        <v>31</v>
      </c>
      <c r="B62" s="4" t="s">
        <v>38</v>
      </c>
      <c r="C62" s="4" t="s">
        <v>780</v>
      </c>
      <c r="D62" s="3" t="str">
        <f>HYPERLINK("http://www.monitor.co.ug/artsculture/Reviews/Ntoroko--where-rain-and-sunshine-are-not-welcome/-/691232/1679946/-/14q5r3iz/-/index.html")</f>
        <v>http://www.monitor.co.ug/artsculture/Reviews/Ntoroko--where-rain-and-sunshine-are-not-welcome/-/691232/1679946/-/14q5r3iz/-/index.html</v>
      </c>
    </row>
    <row r="63" spans="1:4" ht="15">
      <c r="A63" s="3" t="s">
        <v>31</v>
      </c>
      <c r="B63" s="4" t="s">
        <v>38</v>
      </c>
      <c r="C63" s="4" t="s">
        <v>563</v>
      </c>
      <c r="D63" s="3" t="str">
        <f>HYPERLINK("http://www.newvision.co.ug/news/639427-cholera-strikes-ntoroko-as-floods-displace-families.html")</f>
        <v>http://www.newvision.co.ug/news/639427-cholera-strikes-ntoroko-as-floods-displace-families.html</v>
      </c>
    </row>
    <row r="64" spans="1:4" ht="15">
      <c r="A64" s="3" t="s">
        <v>48</v>
      </c>
      <c r="B64" s="5">
        <v>40334</v>
      </c>
      <c r="C64" s="4" t="s">
        <v>603</v>
      </c>
      <c r="D64" s="3" t="str">
        <f>HYPERLINK("http://www.newvision.co.ug/news/619726-uganda-needs-useful-solutions-for-disasters.html")</f>
        <v>http://www.newvision.co.ug/news/619726-uganda-needs-useful-solutions-for-disasters.html</v>
      </c>
    </row>
    <row r="65" spans="1:4" ht="15">
      <c r="A65" s="3" t="s">
        <v>48</v>
      </c>
      <c r="B65" s="5">
        <v>41041</v>
      </c>
      <c r="C65" s="4" t="s">
        <v>603</v>
      </c>
      <c r="D65" s="3" t="str">
        <f>HYPERLINK("http://www.monitor.co.ug/News/National/Kanungu-ghosts-haunt-government/-/688334/1636442/-/y5u227z/-/index.html")</f>
        <v>http://www.monitor.co.ug/News/National/Kanungu-ghosts-haunt-government/-/688334/1636442/-/y5u227z/-/index.html</v>
      </c>
    </row>
    <row r="66" spans="1:4" ht="15">
      <c r="A66" s="3" t="s">
        <v>48</v>
      </c>
      <c r="B66" s="5">
        <v>41520</v>
      </c>
      <c r="C66" s="4" t="s">
        <v>825</v>
      </c>
      <c r="D66" s="3" t="str">
        <f>HYPERLINK("http://www.monitor.co.ug/SpecialReports/The-national-ID-scandal/-/688342/1714690/-/mccfcwz/-/index.html")</f>
        <v>http://www.monitor.co.ug/SpecialReports/The-national-ID-scandal/-/688342/1714690/-/mccfcwz/-/index.html</v>
      </c>
    </row>
    <row r="67" spans="1:4" ht="15">
      <c r="A67" s="3" t="s">
        <v>48</v>
      </c>
      <c r="B67" s="4" t="s">
        <v>51</v>
      </c>
      <c r="C67" s="4" t="s">
        <v>603</v>
      </c>
      <c r="D67" s="3" t="str">
        <f>HYPERLINK("http://www.monitor.co.ug/News/National/Kanungu-ghosts-haunt-govt/-/688334/1630430/-/9sqd2kz/-/index.html")</f>
        <v>http://www.monitor.co.ug/News/National/Kanungu-ghosts-haunt-govt/-/688334/1630430/-/9sqd2kz/-/index.html</v>
      </c>
    </row>
    <row r="68" spans="1:4" ht="15">
      <c r="A68" s="3" t="s">
        <v>52</v>
      </c>
      <c r="B68" s="5">
        <v>40582</v>
      </c>
      <c r="C68" s="4" t="s">
        <v>737</v>
      </c>
      <c r="D68" s="3" t="str">
        <f>HYPERLINK("http://www.monitor.co.ug/News/National/-/688334/1211886/-/bkk1w7z/-/index.html")</f>
        <v>http://www.monitor.co.ug/News/National/-/688334/1211886/-/bkk1w7z/-/index.html</v>
      </c>
    </row>
    <row r="69" spans="1:4" ht="15">
      <c r="A69" s="3" t="s">
        <v>52</v>
      </c>
      <c r="B69" s="5">
        <v>40672</v>
      </c>
      <c r="C69" s="4" t="s">
        <v>52</v>
      </c>
      <c r="D69" s="3" t="str">
        <f>HYPERLINK("http://www.newvision.co.ug/news/316588-what-is-the-national-policy-on-disasters.html")</f>
        <v>http://www.newvision.co.ug/news/316588-what-is-the-national-policy-on-disasters.html</v>
      </c>
    </row>
    <row r="70" spans="1:4" ht="15">
      <c r="A70" s="3" t="s">
        <v>52</v>
      </c>
      <c r="B70" s="5">
        <v>40672</v>
      </c>
      <c r="C70" s="4" t="s">
        <v>52</v>
      </c>
      <c r="D70" s="3" t="str">
        <f>HYPERLINK("http://www.newvision.co.ug/news/1823-what-is-the-national-policy-on-disasters.html")</f>
        <v>http://www.newvision.co.ug/news/1823-what-is-the-national-policy-on-disasters.html</v>
      </c>
    </row>
    <row r="71" spans="1:4" ht="15">
      <c r="A71" s="3" t="s">
        <v>52</v>
      </c>
      <c r="B71" s="5">
        <v>41191</v>
      </c>
      <c r="C71" s="4" t="s">
        <v>52</v>
      </c>
      <c r="D71" s="3" t="str">
        <f>HYPERLINK("http://www.monitor.co.ug/News/National/Two-pupils-drown-on-fishing-adventure-in-Gulu/-/688334/1501296/-/12iore4z/-/index.html")</f>
        <v>http://www.monitor.co.ug/News/National/Two-pupils-drown-on-fishing-adventure-in-Gulu/-/688334/1501296/-/12iore4z/-/index.html</v>
      </c>
    </row>
    <row r="72" spans="1:4" ht="15">
      <c r="A72" s="3" t="s">
        <v>52</v>
      </c>
      <c r="B72" s="5">
        <v>41216</v>
      </c>
      <c r="C72" s="4" t="s">
        <v>52</v>
      </c>
      <c r="D72" s="3" t="str">
        <f>HYPERLINK("http://www.monitor.co.ug/News/Insight/-/688338/1363402/-/s9hdwa/-/index.html")</f>
        <v>http://www.monitor.co.ug/News/Insight/-/688338/1363402/-/s9hdwa/-/index.html</v>
      </c>
    </row>
    <row r="73" spans="1:4" ht="15">
      <c r="A73" s="3" t="s">
        <v>52</v>
      </c>
      <c r="B73" s="5">
        <v>41343</v>
      </c>
      <c r="C73" s="4" t="s">
        <v>52</v>
      </c>
      <c r="D73" s="3" t="str">
        <f>HYPERLINK("http://www.monitor.co.ug/artsculture/Reviews/That-phone-text-could-bring-you-desired-change/-/691232/2016594/-/du2hd3z/-/index.html")</f>
        <v>http://www.monitor.co.ug/artsculture/Reviews/That-phone-text-could-bring-you-desired-change/-/691232/2016594/-/du2hd3z/-/index.html</v>
      </c>
    </row>
    <row r="74" spans="1:4" ht="15">
      <c r="A74" s="3" t="s">
        <v>52</v>
      </c>
      <c r="B74" s="5">
        <v>41552</v>
      </c>
      <c r="C74" s="4" t="s">
        <v>823</v>
      </c>
      <c r="D74" s="3" t="str">
        <f>HYPERLINK("http://www.monitor.co.ug/News/National/Kabarole-needs-over-Shs750m-for-bridges/-/688334/1847594/-/3njygpz/-/index.html")</f>
        <v>http://www.monitor.co.ug/News/National/Kabarole-needs-over-Shs750m-for-bridges/-/688334/1847594/-/3njygpz/-/index.html</v>
      </c>
    </row>
    <row r="75" spans="1:4" ht="15">
      <c r="A75" s="3" t="s">
        <v>52</v>
      </c>
      <c r="B75" s="4" t="s">
        <v>56</v>
      </c>
      <c r="C75" s="4" t="s">
        <v>52</v>
      </c>
      <c r="D75" s="3" t="str">
        <f>HYPERLINK("http://www.monitor.co.ug/News/National/-/688334/1031488/-/cmhiptz/-/index.html")</f>
        <v>http://www.monitor.co.ug/News/National/-/688334/1031488/-/cmhiptz/-/index.html</v>
      </c>
    </row>
    <row r="76" spans="1:4" ht="15">
      <c r="A76" s="3" t="s">
        <v>52</v>
      </c>
      <c r="B76" s="4" t="s">
        <v>56</v>
      </c>
      <c r="C76" s="4" t="s">
        <v>52</v>
      </c>
      <c r="D76" s="3" t="str">
        <f>HYPERLINK("http://www.monitor.co.ug/News/National/-/688334/1031488/-/cmhiptz/-/index.html")</f>
        <v>http://www.monitor.co.ug/News/National/-/688334/1031488/-/cmhiptz/-/index.html</v>
      </c>
    </row>
    <row r="77" spans="1:4" ht="15">
      <c r="A77" s="3" t="s">
        <v>52</v>
      </c>
      <c r="B77" s="4" t="s">
        <v>61</v>
      </c>
      <c r="C77" s="4" t="s">
        <v>817</v>
      </c>
      <c r="D77" s="3" t="str">
        <f>HYPERLINK("http://www.monitor.co.ug/OpEd/OpEdColumnists/AugustineRuzindana/Threats-of-war-over-Nile-waters-are-futile/-/887296/1882216/-/1vtannz/-/index.html")</f>
        <v>http://www.monitor.co.ug/OpEd/OpEdColumnists/AugustineRuzindana/Threats-of-war-over-Nile-waters-are-futile/-/887296/1882216/-/1vtannz/-/index.html</v>
      </c>
    </row>
    <row r="78" spans="1:4" ht="15">
      <c r="A78" s="3" t="s">
        <v>52</v>
      </c>
      <c r="B78" s="4" t="s">
        <v>63</v>
      </c>
      <c r="C78" s="4" t="s">
        <v>762</v>
      </c>
      <c r="D78" s="3" t="str">
        <f>HYPERLINK("http://www.newvision.co.ug/news/649448-gulu-school-closed-again-over-floods.html")</f>
        <v>http://www.newvision.co.ug/news/649448-gulu-school-closed-again-over-floods.html</v>
      </c>
    </row>
    <row r="79" spans="1:4" ht="15">
      <c r="A79" s="3" t="s">
        <v>52</v>
      </c>
      <c r="B79" s="4" t="s">
        <v>58</v>
      </c>
      <c r="C79" s="4" t="s">
        <v>52</v>
      </c>
      <c r="D79" s="3" t="str">
        <f>HYPERLINK("http://www.newvision.co.ug/news/320916-gulu-mayor-warns-workers-against-delays.html")</f>
        <v>http://www.newvision.co.ug/news/320916-gulu-mayor-warns-workers-against-delays.html</v>
      </c>
    </row>
    <row r="80" spans="1:4" ht="15">
      <c r="A80" s="3" t="s">
        <v>52</v>
      </c>
      <c r="B80" s="4" t="s">
        <v>64</v>
      </c>
      <c r="C80" s="4" t="s">
        <v>736</v>
      </c>
      <c r="D80" s="3" t="str">
        <f>HYPERLINK("http://www.monitor.co.ug/News/National/Residents-uproot-cassava-in-fear-of-floods/-/688334/2453470/-/f3fyxp/-/index.html")</f>
        <v>http://www.monitor.co.ug/News/National/Residents-uproot-cassava-in-fear-of-floods/-/688334/2453470/-/f3fyxp/-/index.html</v>
      </c>
    </row>
    <row r="81" spans="1:4" ht="15">
      <c r="A81" s="3" t="s">
        <v>52</v>
      </c>
      <c r="B81" s="4" t="s">
        <v>54</v>
      </c>
      <c r="C81" s="4" t="s">
        <v>777</v>
      </c>
      <c r="D81" s="3" t="str">
        <f>HYPERLINK("http://www.monitor.co.ug/News/National/-/688334/757678/-/vxx2pe/-/index.html")</f>
        <v>http://www.monitor.co.ug/News/National/-/688334/757678/-/vxx2pe/-/index.html</v>
      </c>
    </row>
    <row r="82" spans="1:4" ht="15">
      <c r="A82" s="3" t="s">
        <v>52</v>
      </c>
      <c r="B82" s="4" t="s">
        <v>53</v>
      </c>
      <c r="C82" s="4" t="s">
        <v>752</v>
      </c>
      <c r="D82" s="3" t="str">
        <f>HYPERLINK("http://www.monitor.co.ug/News/Education/-/688336/800292/-/10w5hn7/-/index.html")</f>
        <v>http://www.monitor.co.ug/News/Education/-/688336/800292/-/10w5hn7/-/index.html</v>
      </c>
    </row>
    <row r="83" spans="1:4" ht="15">
      <c r="A83" s="3" t="s">
        <v>52</v>
      </c>
      <c r="B83" s="4" t="s">
        <v>57</v>
      </c>
      <c r="C83" s="4" t="s">
        <v>603</v>
      </c>
      <c r="D83" s="3" t="str">
        <f>HYPERLINK("http://www.monitor.co.ug/SpecialReports/-/688342/1038452/-/u91qxx/-/index.html")</f>
        <v>http://www.monitor.co.ug/SpecialReports/-/688342/1038452/-/u91qxx/-/index.html</v>
      </c>
    </row>
    <row r="84" spans="1:4" ht="15">
      <c r="A84" s="3" t="s">
        <v>52</v>
      </c>
      <c r="B84" s="4" t="s">
        <v>55</v>
      </c>
      <c r="C84" s="4" t="s">
        <v>52</v>
      </c>
      <c r="D84" s="3" t="str">
        <f>HYPERLINK("http://www.monitor.co.ug/Magazines/PeoplePower/-/689844/758392/-/4or6fd/-/index.html")</f>
        <v>http://www.monitor.co.ug/Magazines/PeoplePower/-/689844/758392/-/4or6fd/-/index.html</v>
      </c>
    </row>
    <row r="85" spans="1:4" ht="15">
      <c r="A85" s="3" t="s">
        <v>52</v>
      </c>
      <c r="B85" s="4" t="s">
        <v>59</v>
      </c>
      <c r="C85" s="4" t="s">
        <v>815</v>
      </c>
      <c r="D85" s="3" t="str">
        <f>HYPERLINK("http://www.monitor.co.ug/News/National/-/688334/1243676/-/bio36pz/-/index.html")</f>
        <v>http://www.monitor.co.ug/News/National/-/688334/1243676/-/bio36pz/-/index.html</v>
      </c>
    </row>
    <row r="86" spans="1:4" ht="15">
      <c r="A86" s="3" t="s">
        <v>65</v>
      </c>
      <c r="B86" s="5">
        <v>39487</v>
      </c>
      <c r="C86" s="4" t="s">
        <v>766</v>
      </c>
      <c r="D86" s="3" t="str">
        <f>HYPERLINK("http://www.newvision.co.ug/news/511336-nssf-breached-ruless-in-buying-temangalo-land.html")</f>
        <v>http://www.newvision.co.ug/news/511336-nssf-breached-ruless-in-buying-temangalo-land.html</v>
      </c>
    </row>
    <row r="87" spans="1:4" ht="15">
      <c r="A87" s="3" t="s">
        <v>65</v>
      </c>
      <c r="B87" s="5">
        <v>40576</v>
      </c>
      <c r="C87" s="4" t="s">
        <v>598</v>
      </c>
      <c r="D87" s="3" t="str">
        <f>HYPERLINK("http://www.monitor.co.ug/Magazines/Farming/-/689860/1099450/-/2keywxz/-/index.html")</f>
        <v>http://www.monitor.co.ug/Magazines/Farming/-/689860/1099450/-/2keywxz/-/index.html</v>
      </c>
    </row>
    <row r="88" spans="1:4" ht="15">
      <c r="A88" s="3" t="s">
        <v>65</v>
      </c>
      <c r="B88" s="4" t="s">
        <v>67</v>
      </c>
      <c r="C88" s="4" t="s">
        <v>806</v>
      </c>
      <c r="D88" s="3" t="str">
        <f>HYPERLINK("http://www.monitor.co.ug/News/Education/-/688336/696976/-/yyn7l4/-/index.html")</f>
        <v>http://www.monitor.co.ug/News/Education/-/688336/696976/-/yyn7l4/-/index.html</v>
      </c>
    </row>
    <row r="89" spans="1:4" ht="15">
      <c r="A89" s="3" t="s">
        <v>65</v>
      </c>
      <c r="B89" s="4" t="s">
        <v>70</v>
      </c>
      <c r="C89" s="4" t="s">
        <v>827</v>
      </c>
      <c r="D89" s="3" t="str">
        <f>HYPERLINK("http://www.monitor.co.ug/News/National/Rain-destroys-Luuka--Iganga-roads/-/688334/2692774/-/14863pp/-/index.html")</f>
        <v>http://www.monitor.co.ug/News/National/Rain-destroys-Luuka--Iganga-roads/-/688334/2692774/-/14863pp/-/index.html</v>
      </c>
    </row>
    <row r="90" spans="1:4" ht="15">
      <c r="A90" s="3" t="s">
        <v>65</v>
      </c>
      <c r="B90" s="4" t="s">
        <v>69</v>
      </c>
      <c r="C90" s="4" t="s">
        <v>563</v>
      </c>
      <c r="D90" s="3" t="str">
        <f>HYPERLINK("http://www.newvision.co.ug/news/657847-cabinet-approves-sh25b-for-kasese-reconstruction.html")</f>
        <v>http://www.newvision.co.ug/news/657847-cabinet-approves-sh25b-for-kasese-reconstruction.html</v>
      </c>
    </row>
    <row r="91" spans="1:4" ht="15">
      <c r="A91" s="3" t="s">
        <v>71</v>
      </c>
      <c r="B91" s="5">
        <v>39761</v>
      </c>
      <c r="C91" s="4" t="s">
        <v>405</v>
      </c>
      <c r="D91" s="3" t="str">
        <f>HYPERLINK("http://www.newvision.co.ug/news/510678-spear-motors-sues-barclays-bank.html")</f>
        <v>http://www.newvision.co.ug/news/510678-spear-motors-sues-barclays-bank.html</v>
      </c>
    </row>
    <row r="92" spans="1:4" ht="15">
      <c r="A92" s="3" t="s">
        <v>71</v>
      </c>
      <c r="B92" s="5">
        <v>40272</v>
      </c>
      <c r="C92" s="4" t="s">
        <v>772</v>
      </c>
      <c r="D92" s="3" t="str">
        <f>HYPERLINK("http://www.monitor.co.ug/News/Insight/-/688338/892136/-/7ge5l8/-/index.html")</f>
        <v>http://www.monitor.co.ug/News/Insight/-/688338/892136/-/7ge5l8/-/index.html</v>
      </c>
    </row>
    <row r="93" spans="1:4" ht="15">
      <c r="A93" s="3" t="s">
        <v>71</v>
      </c>
      <c r="B93" s="5">
        <v>40276</v>
      </c>
      <c r="C93" s="4" t="s">
        <v>71</v>
      </c>
      <c r="D93" s="3" t="str">
        <f>HYPERLINK("http://www.newvision.co.ug/news/613789-farmers-petition-museveni-over-inputs.html")</f>
        <v>http://www.newvision.co.ug/news/613789-farmers-petition-museveni-over-inputs.html</v>
      </c>
    </row>
    <row r="94" spans="1:4" ht="15">
      <c r="A94" s="3" t="s">
        <v>71</v>
      </c>
      <c r="B94" s="5">
        <v>41739</v>
      </c>
      <c r="C94" s="4" t="s">
        <v>71</v>
      </c>
      <c r="D94" s="3" t="str">
        <f>HYPERLINK("http://www.monitor.co.ug/artsculture/Travel/Nile--a-river-of-mysteries/-/691238/2473676/-/12emh17z/-/index.html")</f>
        <v>http://www.monitor.co.ug/artsculture/Travel/Nile--a-river-of-mysteries/-/691238/2473676/-/12emh17z/-/index.html</v>
      </c>
    </row>
    <row r="95" spans="1:4" ht="15">
      <c r="A95" s="3" t="s">
        <v>71</v>
      </c>
      <c r="B95" s="4" t="s">
        <v>91</v>
      </c>
      <c r="C95" s="4" t="s">
        <v>71</v>
      </c>
      <c r="D95" s="3" t="str">
        <f>HYPERLINK("http://www.monitor.co.ug/News/National/Busoga-chiefs-to-elect-new-Kyabazinga-in-April/-/688334/2144786/-/hfikru/-/index.html")</f>
        <v>http://www.monitor.co.ug/News/National/Busoga-chiefs-to-elect-new-Kyabazinga-in-April/-/688334/2144786/-/hfikru/-/index.html</v>
      </c>
    </row>
    <row r="96" spans="1:4" ht="15">
      <c r="A96" s="3" t="s">
        <v>71</v>
      </c>
      <c r="B96" s="4" t="s">
        <v>73</v>
      </c>
      <c r="C96" s="4" t="s">
        <v>71</v>
      </c>
      <c r="D96" s="3" t="str">
        <f>HYPERLINK("http://www.newvision.co.ug/news/482821-floods-delay-iganga-water.html")</f>
        <v>http://www.newvision.co.ug/news/482821-floods-delay-iganga-water.html</v>
      </c>
    </row>
    <row r="97" spans="1:4" ht="15">
      <c r="A97" s="3" t="s">
        <v>71</v>
      </c>
      <c r="B97" s="4" t="s">
        <v>79</v>
      </c>
      <c r="C97" s="4" t="s">
        <v>71</v>
      </c>
      <c r="D97" s="3" t="str">
        <f>HYPERLINK("http://www.monitor.co.ug/Magazines/Farming/-/689860/898868/-/wvpu8y/-/index.html")</f>
        <v>http://www.monitor.co.ug/Magazines/Farming/-/689860/898868/-/wvpu8y/-/index.html</v>
      </c>
    </row>
    <row r="98" spans="1:4" ht="15">
      <c r="A98" s="3" t="s">
        <v>71</v>
      </c>
      <c r="B98" s="4" t="s">
        <v>85</v>
      </c>
      <c r="C98" s="4" t="s">
        <v>71</v>
      </c>
      <c r="D98" s="3" t="str">
        <f>HYPERLINK("http://www.monitor.co.ug/News/National/Residents-invade-cooperative-land/-/688334/1405142/-/kj286y/-/index.html")</f>
        <v>http://www.monitor.co.ug/News/National/Residents-invade-cooperative-land/-/688334/1405142/-/kj286y/-/index.html</v>
      </c>
    </row>
    <row r="99" spans="1:4" ht="15">
      <c r="A99" s="3" t="s">
        <v>71</v>
      </c>
      <c r="B99" s="4" t="s">
        <v>89</v>
      </c>
      <c r="C99" s="4" t="s">
        <v>550</v>
      </c>
      <c r="D99" s="3" t="str">
        <f>HYPERLINK("http://www.monitor.co.ug/artsculture/Travel/Why-damming-Isimba-Falls-will-destroy-tourism-on-R--Nile/-/691238/1991446/-/jxmuy5/-/index.html")</f>
        <v>http://www.monitor.co.ug/artsculture/Travel/Why-damming-Isimba-Falls-will-destroy-tourism-on-R--Nile/-/691238/1991446/-/jxmuy5/-/index.html</v>
      </c>
    </row>
    <row r="100" spans="1:4" ht="15">
      <c r="A100" s="3" t="s">
        <v>71</v>
      </c>
      <c r="B100" s="4" t="s">
        <v>74</v>
      </c>
      <c r="C100" s="4" t="s">
        <v>730</v>
      </c>
      <c r="D100" s="3" t="str">
        <f>HYPERLINK("http://www.monitor.co.ug/News/National/-/688334/796060/-/w1de8m/-/index.html")</f>
        <v>http://www.monitor.co.ug/News/National/-/688334/796060/-/w1de8m/-/index.html</v>
      </c>
    </row>
    <row r="101" spans="1:4" ht="15">
      <c r="A101" s="3" t="s">
        <v>71</v>
      </c>
      <c r="B101" s="4" t="s">
        <v>87</v>
      </c>
      <c r="C101" s="4" t="s">
        <v>550</v>
      </c>
      <c r="D101" s="3" t="str">
        <f>HYPERLINK("http://www.monitor.co.ug/OpEd/Letters/We-need-more-forests--Mabira-inclusive/-/806314/1667122/-/ti05lo/-/index.html")</f>
        <v>http://www.monitor.co.ug/OpEd/Letters/We-need-more-forests--Mabira-inclusive/-/806314/1667122/-/ti05lo/-/index.html</v>
      </c>
    </row>
    <row r="102" spans="1:4" ht="15">
      <c r="A102" s="3" t="s">
        <v>71</v>
      </c>
      <c r="B102" s="4" t="s">
        <v>75</v>
      </c>
      <c r="C102" s="4" t="s">
        <v>71</v>
      </c>
      <c r="D102" s="3" t="str">
        <f>HYPERLINK("http://www.newvision.co.ug/news/482629-rastoon.html")</f>
        <v>http://www.newvision.co.ug/news/482629-rastoon.html</v>
      </c>
    </row>
    <row r="103" spans="1:4" ht="15">
      <c r="A103" s="3" t="s">
        <v>71</v>
      </c>
      <c r="B103" s="4" t="s">
        <v>81</v>
      </c>
      <c r="C103" s="4" t="s">
        <v>71</v>
      </c>
      <c r="D103" s="3" t="str">
        <f>HYPERLINK("http://www.monitor.co.ug/News/National/-/688334/1034882/-/cmfcmnz/-/index.html")</f>
        <v>http://www.monitor.co.ug/News/National/-/688334/1034882/-/cmfcmnz/-/index.html</v>
      </c>
    </row>
    <row r="104" spans="1:4" ht="15">
      <c r="A104" s="3" t="s">
        <v>71</v>
      </c>
      <c r="B104" s="4" t="s">
        <v>93</v>
      </c>
      <c r="C104" s="4" t="s">
        <v>71</v>
      </c>
      <c r="D104" s="3" t="str">
        <f>HYPERLINK("http://www.newvision.co.ug/news/663012-who-really-cares-about-the-ugandan-girl.html")</f>
        <v>http://www.newvision.co.ug/news/663012-who-really-cares-about-the-ugandan-girl.html</v>
      </c>
    </row>
    <row r="105" spans="1:4" ht="15">
      <c r="A105" s="3" t="s">
        <v>71</v>
      </c>
      <c r="B105" s="4" t="s">
        <v>92</v>
      </c>
      <c r="C105" s="4" t="s">
        <v>71</v>
      </c>
      <c r="D105" s="3" t="str">
        <f>HYPERLINK("http://www.monitor.co.ug/artsculture/Reviews/Meeting-the-Bujagali-seer/-/691232/2284648/-/wp9fiq/-/index.html")</f>
        <v>http://www.monitor.co.ug/artsculture/Reviews/Meeting-the-Bujagali-seer/-/691232/2284648/-/wp9fiq/-/index.html</v>
      </c>
    </row>
    <row r="106" spans="1:4" ht="15">
      <c r="A106" s="3" t="s">
        <v>71</v>
      </c>
      <c r="B106" s="4" t="s">
        <v>72</v>
      </c>
      <c r="C106" s="4" t="s">
        <v>26</v>
      </c>
      <c r="D106" s="3" t="str">
        <f>HYPERLINK("http://www.newvision.co.ug/news/443215-sewage-floods-borehole.html")</f>
        <v>http://www.newvision.co.ug/news/443215-sewage-floods-borehole.html</v>
      </c>
    </row>
    <row r="107" spans="1:4" ht="15">
      <c r="A107" s="3" t="s">
        <v>71</v>
      </c>
      <c r="B107" s="4" t="s">
        <v>80</v>
      </c>
      <c r="C107" s="4" t="s">
        <v>603</v>
      </c>
      <c r="D107" s="3" t="str">
        <f>HYPERLINK("http://www.monitor.co.ug/OpEd/Letters/-/806314/922528/-/2dwah2z/-/index.html")</f>
        <v>http://www.monitor.co.ug/OpEd/Letters/-/806314/922528/-/2dwah2z/-/index.html</v>
      </c>
    </row>
    <row r="108" spans="1:4" ht="15">
      <c r="A108" s="3" t="s">
        <v>71</v>
      </c>
      <c r="B108" s="4" t="s">
        <v>77</v>
      </c>
      <c r="C108" s="4" t="s">
        <v>26</v>
      </c>
      <c r="D108" s="3" t="str">
        <f>HYPERLINK("http://www.newvision.co.ug/news/624405-govt-to-pay-37b-penalty-to-french-firm.html")</f>
        <v>http://www.newvision.co.ug/news/624405-govt-to-pay-37b-penalty-to-french-firm.html</v>
      </c>
    </row>
    <row r="109" spans="1:4" ht="15">
      <c r="A109" s="3" t="s">
        <v>71</v>
      </c>
      <c r="B109" s="4" t="s">
        <v>88</v>
      </c>
      <c r="C109" s="4" t="s">
        <v>71</v>
      </c>
      <c r="D109" s="3" t="str">
        <f>HYPERLINK("http://www.monitor.co.ug/News/National/Military-men-ordered-out-of-police-barracks/-/688334/1678090/-/he923j/-/index.html")</f>
        <v>http://www.monitor.co.ug/News/National/Military-men-ordered-out-of-police-barracks/-/688334/1678090/-/he923j/-/index.html</v>
      </c>
    </row>
    <row r="110" spans="1:4" ht="15">
      <c r="A110" s="3" t="s">
        <v>94</v>
      </c>
      <c r="B110" s="5">
        <v>38880</v>
      </c>
      <c r="C110" s="4" t="s">
        <v>426</v>
      </c>
      <c r="D110" s="3" t="str">
        <f>HYPERLINK("http://www.newvision.co.ug/news/454683-floods-hit-east-africa.html")</f>
        <v>http://www.newvision.co.ug/news/454683-floods-hit-east-africa.html</v>
      </c>
    </row>
    <row r="111" spans="1:4" ht="15">
      <c r="A111" s="3" t="s">
        <v>94</v>
      </c>
      <c r="B111" s="5">
        <v>39212</v>
      </c>
      <c r="C111" s="4" t="s">
        <v>8</v>
      </c>
      <c r="D111" s="3" t="str">
        <f>HYPERLINK("http://www.monitor.co.ug/News/-/688324/793288/-/bpumaj/-/index.html")</f>
        <v>http://www.monitor.co.ug/News/-/688324/793288/-/bpumaj/-/index.html</v>
      </c>
    </row>
    <row r="112" spans="1:4" ht="15">
      <c r="A112" s="3" t="s">
        <v>94</v>
      </c>
      <c r="B112" s="5">
        <v>40098</v>
      </c>
      <c r="C112" s="4" t="s">
        <v>550</v>
      </c>
      <c r="D112" s="3" t="str">
        <f>HYPERLINK("http://www.monitor.co.ug/OpEd/OpEdColumnists/KaroliSsemogerere/-/878682/820600/-/bkjvok/-/index.html")</f>
        <v>http://www.monitor.co.ug/OpEd/OpEdColumnists/KaroliSsemogerere/-/878682/820600/-/bkjvok/-/index.html</v>
      </c>
    </row>
    <row r="113" spans="1:4" ht="15">
      <c r="A113" s="3" t="s">
        <v>94</v>
      </c>
      <c r="B113" s="5">
        <v>40301</v>
      </c>
      <c r="C113" s="4" t="s">
        <v>603</v>
      </c>
      <c r="D113" s="3" t="str">
        <f>HYPERLINK("http://www.monitor.co.ug/OpEd/Commentary/-/689364/873306/-/ahnej4z/-/index.html")</f>
        <v>http://www.monitor.co.ug/OpEd/Commentary/-/689364/873306/-/ahnej4z/-/index.html</v>
      </c>
    </row>
    <row r="114" spans="1:4" ht="15">
      <c r="A114" s="3" t="s">
        <v>94</v>
      </c>
      <c r="B114" s="5">
        <v>40301</v>
      </c>
      <c r="C114" s="4" t="s">
        <v>551</v>
      </c>
      <c r="D114" s="3" t="str">
        <f>HYPERLINK("http://www.monitor.co.ug/News/National/-/688334/873586/-/wj637g/-/index.html")</f>
        <v>http://www.monitor.co.ug/News/National/-/688334/873586/-/wj637g/-/index.html</v>
      </c>
    </row>
    <row r="115" spans="1:4" ht="15">
      <c r="A115" s="3" t="s">
        <v>94</v>
      </c>
      <c r="B115" s="5">
        <v>40362</v>
      </c>
      <c r="C115" s="4" t="s">
        <v>603</v>
      </c>
      <c r="D115" s="3" t="str">
        <f>HYPERLINK("http://www.monitor.co.ug/News/National/-/688334/874564/-/wj6rgs/-/index.html")</f>
        <v>http://www.monitor.co.ug/News/National/-/688334/874564/-/wj6rgs/-/index.html</v>
      </c>
    </row>
    <row r="116" spans="1:4" ht="15">
      <c r="A116" s="3" t="s">
        <v>94</v>
      </c>
      <c r="B116" s="5">
        <v>40362</v>
      </c>
      <c r="C116" s="4" t="s">
        <v>603</v>
      </c>
      <c r="D116" s="3" t="str">
        <f>HYPERLINK("http://www.monitor.co.ug/OpEd/Editorial/-/689360/874608/-/rex3rpz/-/index.html")</f>
        <v>http://www.monitor.co.ug/OpEd/Editorial/-/689360/874608/-/rex3rpz/-/index.html</v>
      </c>
    </row>
    <row r="117" spans="1:4" ht="15">
      <c r="A117" s="3" t="s">
        <v>94</v>
      </c>
      <c r="B117" s="5">
        <v>40399</v>
      </c>
      <c r="C117" s="4" t="s">
        <v>473</v>
      </c>
      <c r="D117" s="3" t="str">
        <f>HYPERLINK("http://www.monitor.co.ug/Magazines/Farming/-/689860/1005352/-/2q1n1uz/-/index.html")</f>
        <v>http://www.monitor.co.ug/Magazines/Farming/-/689860/1005352/-/2q1n1uz/-/index.html</v>
      </c>
    </row>
    <row r="118" spans="1:4" ht="15">
      <c r="A118" s="3" t="s">
        <v>94</v>
      </c>
      <c r="B118" s="5">
        <v>40611</v>
      </c>
      <c r="C118" s="4" t="s">
        <v>52</v>
      </c>
      <c r="D118" s="3" t="str">
        <f>HYPERLINK("http://www.monitor.co.ug/OpEd/Commentary/-/689364/1229654/-/12ryiotz/-/index.html")</f>
        <v>http://www.monitor.co.ug/OpEd/Commentary/-/689364/1229654/-/12ryiotz/-/index.html</v>
      </c>
    </row>
    <row r="119" spans="1:4" ht="15">
      <c r="A119" s="3" t="s">
        <v>94</v>
      </c>
      <c r="B119" s="5">
        <v>40795</v>
      </c>
      <c r="C119" s="4" t="s">
        <v>94</v>
      </c>
      <c r="D119" s="3" t="str">
        <f>HYPERLINK("http://www.monitor.co.ug/News/National/-/688334/1232962/-/bjb92tz/-/index.html")</f>
        <v>http://www.monitor.co.ug/News/National/-/688334/1232962/-/bjb92tz/-/index.html</v>
      </c>
    </row>
    <row r="120" spans="1:4" ht="15">
      <c r="A120" s="3" t="s">
        <v>94</v>
      </c>
      <c r="B120" s="5">
        <v>41527</v>
      </c>
      <c r="C120" s="4" t="s">
        <v>733</v>
      </c>
      <c r="D120" s="3" t="str">
        <f>HYPERLINK("http://www.monitor.co.ug/OpEd/Commentary/Uganda-s-geothermal-energy-requires-investment-boost/-/689364/2024126/-/10qcaic/-/index.html")</f>
        <v>http://www.monitor.co.ug/OpEd/Commentary/Uganda-s-geothermal-energy-requires-investment-boost/-/689364/2024126/-/10qcaic/-/index.html</v>
      </c>
    </row>
    <row r="121" spans="1:4" ht="15">
      <c r="A121" s="3" t="s">
        <v>94</v>
      </c>
      <c r="B121" s="5">
        <v>42313</v>
      </c>
      <c r="C121" s="4" t="s">
        <v>570</v>
      </c>
      <c r="D121" s="3" t="str">
        <f>HYPERLINK("http://www.newvision.co.ug/news/668177-kabale-bans-sand-stone-quarrying.html")</f>
        <v>http://www.newvision.co.ug/news/668177-kabale-bans-sand-stone-quarrying.html</v>
      </c>
    </row>
    <row r="122" spans="1:4" ht="15">
      <c r="A122" s="3" t="s">
        <v>94</v>
      </c>
      <c r="B122" s="5">
        <v>42313</v>
      </c>
      <c r="C122" s="4" t="s">
        <v>570</v>
      </c>
      <c r="D122" s="3" t="str">
        <f>HYPERLINK("http://www.newvision.co.ug/news/668177-kabale-bans-sand-stone-quarrying.html")</f>
        <v>http://www.newvision.co.ug/news/668177-kabale-bans-sand-stone-quarrying.html</v>
      </c>
    </row>
    <row r="123" spans="1:4" ht="15">
      <c r="A123" s="3" t="s">
        <v>94</v>
      </c>
      <c r="B123" s="4" t="s">
        <v>108</v>
      </c>
      <c r="C123" s="4" t="s">
        <v>94</v>
      </c>
      <c r="D123" s="3" t="str">
        <f>HYPERLINK("http://www.monitor.co.ug/News/National/Locals-to-protest-as-Museveni-visits/-/688334/2588266/-/qm5flqz/-/index.html")</f>
        <v>http://www.monitor.co.ug/News/National/Locals-to-protest-as-Museveni-visits/-/688334/2588266/-/qm5flqz/-/index.html</v>
      </c>
    </row>
    <row r="124" spans="1:4" ht="15">
      <c r="A124" s="3" t="s">
        <v>94</v>
      </c>
      <c r="B124" s="4" t="s">
        <v>79</v>
      </c>
      <c r="C124" s="4" t="s">
        <v>603</v>
      </c>
      <c r="D124" s="3" t="str">
        <f>HYPERLINK("http://www.monitor.co.ug/OpEd/Commentary/-/689364/898778/-/agbqtjz/-/index.html")</f>
        <v>http://www.monitor.co.ug/OpEd/Commentary/-/689364/898778/-/agbqtjz/-/index.html</v>
      </c>
    </row>
    <row r="125" spans="1:4" ht="15">
      <c r="A125" s="3" t="s">
        <v>94</v>
      </c>
      <c r="B125" s="4" t="s">
        <v>39</v>
      </c>
      <c r="C125" s="4" t="s">
        <v>94</v>
      </c>
      <c r="D125" s="3" t="str">
        <f>HYPERLINK("http://www.monitor.co.ug/artsculture/Reviews/The-kasese-river-that-got-angry/-/691232/1851156/-/2b1210z/-/index.html")</f>
        <v>http://www.monitor.co.ug/artsculture/Reviews/The-kasese-river-that-got-angry/-/691232/1851156/-/2b1210z/-/index.html</v>
      </c>
    </row>
    <row r="126" spans="1:4" ht="15">
      <c r="A126" s="3" t="s">
        <v>94</v>
      </c>
      <c r="B126" s="4" t="s">
        <v>96</v>
      </c>
      <c r="C126" s="4" t="s">
        <v>570</v>
      </c>
      <c r="D126" s="3" t="str">
        <f>HYPERLINK("http://www.newvision.co.ug/news/619112-kabale-landslide-kills-university-student.html")</f>
        <v>http://www.newvision.co.ug/news/619112-kabale-landslide-kills-university-student.html</v>
      </c>
    </row>
    <row r="127" spans="1:4" ht="15">
      <c r="A127" s="3" t="s">
        <v>94</v>
      </c>
      <c r="B127" s="4" t="s">
        <v>97</v>
      </c>
      <c r="C127" s="4" t="s">
        <v>570</v>
      </c>
      <c r="D127" s="3" t="str">
        <f>HYPERLINK("http://www.newvision.co.ug/news/619020-rains-weaken-kabale-soils.html")</f>
        <v>http://www.newvision.co.ug/news/619020-rains-weaken-kabale-soils.html</v>
      </c>
    </row>
    <row r="128" spans="1:4" ht="15">
      <c r="A128" s="3" t="s">
        <v>94</v>
      </c>
      <c r="B128" s="4" t="s">
        <v>98</v>
      </c>
      <c r="C128" s="4" t="s">
        <v>778</v>
      </c>
      <c r="D128" s="3" t="str">
        <f>HYPERLINK("http://www.newvision.co.ug/news/618910-corridors-of-power.html")</f>
        <v>http://www.newvision.co.ug/news/618910-corridors-of-power.html</v>
      </c>
    </row>
    <row r="129" spans="1:4" ht="15">
      <c r="A129" s="3" t="s">
        <v>94</v>
      </c>
      <c r="B129" s="4" t="s">
        <v>102</v>
      </c>
      <c r="C129" s="4" t="s">
        <v>94</v>
      </c>
      <c r="D129" s="3" t="str">
        <f>HYPERLINK("http://www.newvision.co.ug/news/940-3-killed-in-kisoro-landslides.html")</f>
        <v>http://www.newvision.co.ug/news/940-3-killed-in-kisoro-landslides.html</v>
      </c>
    </row>
    <row r="130" spans="1:4" ht="15">
      <c r="A130" s="3" t="s">
        <v>94</v>
      </c>
      <c r="B130" s="4" t="s">
        <v>103</v>
      </c>
      <c r="C130" s="4" t="s">
        <v>94</v>
      </c>
      <c r="D130" s="3" t="str">
        <f>HYPERLINK("http://www.newvision.co.ug/news/315705-3-killed-in-kisoro-landslides.html")</f>
        <v>http://www.newvision.co.ug/news/315705-3-killed-in-kisoro-landslides.html</v>
      </c>
    </row>
    <row r="131" spans="1:4" ht="15">
      <c r="A131" s="3" t="s">
        <v>94</v>
      </c>
      <c r="B131" s="4" t="s">
        <v>104</v>
      </c>
      <c r="C131" s="4" t="s">
        <v>687</v>
      </c>
      <c r="D131" s="3" t="str">
        <f>HYPERLINK("http://www.monitor.co.ug/OpEd/Commentary/-/689364/1276950/-/12oxttiz/-/index.html")</f>
        <v>http://www.monitor.co.ug/OpEd/Commentary/-/689364/1276950/-/12oxttiz/-/index.html</v>
      </c>
    </row>
    <row r="132" spans="1:4" ht="15">
      <c r="A132" s="3" t="s">
        <v>94</v>
      </c>
      <c r="B132" s="4" t="s">
        <v>109</v>
      </c>
      <c r="C132" s="4" t="s">
        <v>603</v>
      </c>
      <c r="D132" s="3" t="str">
        <f>HYPERLINK("http://www.monitor.co.ug/News/National/Drought-manifests-God-s-anger--says-Water-minister/-/688334/2662394/-/qu0kdfz/-/index.html")</f>
        <v>http://www.monitor.co.ug/News/National/Drought-manifests-God-s-anger--says-Water-minister/-/688334/2662394/-/qu0kdfz/-/index.html</v>
      </c>
    </row>
    <row r="133" spans="1:4" ht="15">
      <c r="A133" s="3" t="s">
        <v>94</v>
      </c>
      <c r="B133" s="4" t="s">
        <v>101</v>
      </c>
      <c r="C133" s="4" t="s">
        <v>94</v>
      </c>
      <c r="D133" s="3" t="str">
        <f>HYPERLINK("http://www.monitor.co.ug/News/National/-/688334/1131980/-/c3eo31z/-/index.html")</f>
        <v>http://www.monitor.co.ug/News/National/-/688334/1131980/-/c3eo31z/-/index.html</v>
      </c>
    </row>
    <row r="134" spans="1:4" ht="15">
      <c r="A134" s="3" t="s">
        <v>94</v>
      </c>
      <c r="B134" s="4" t="s">
        <v>99</v>
      </c>
      <c r="C134" s="4" t="s">
        <v>603</v>
      </c>
      <c r="D134" s="3" t="str">
        <f>HYPERLINK("http://www.newvision.co.ug/news/618494-bududa-gets-kigezi-relief.html")</f>
        <v>http://www.newvision.co.ug/news/618494-bududa-gets-kigezi-relief.html</v>
      </c>
    </row>
    <row r="135" spans="1:4" ht="15">
      <c r="A135" s="3" t="s">
        <v>94</v>
      </c>
      <c r="B135" s="4" t="s">
        <v>106</v>
      </c>
      <c r="C135" s="4" t="s">
        <v>505</v>
      </c>
      <c r="D135" s="3" t="str">
        <f>HYPERLINK("http://www.monitor.co.ug/News/National/Government-to-relocate-400-000-people-from-Mt--Elgon/-/688334/1436052/-/tntoom/-/index.html")</f>
        <v>http://www.monitor.co.ug/News/National/Government-to-relocate-400-000-people-from-Mt--Elgon/-/688334/1436052/-/tntoom/-/index.html</v>
      </c>
    </row>
    <row r="136" spans="1:4" ht="15">
      <c r="A136" s="3" t="s">
        <v>94</v>
      </c>
      <c r="B136" s="4" t="s">
        <v>100</v>
      </c>
      <c r="C136" s="4" t="s">
        <v>603</v>
      </c>
      <c r="D136" s="3" t="str">
        <f>HYPERLINK("http://www.monitor.co.ug/Magazines/Farming/-/689860/1079796/-/2ln09hz/-/index.html")</f>
        <v>http://www.monitor.co.ug/Magazines/Farming/-/689860/1079796/-/2ln09hz/-/index.html</v>
      </c>
    </row>
    <row r="137" spans="1:4" ht="15">
      <c r="A137" s="3" t="s">
        <v>94</v>
      </c>
      <c r="B137" s="4" t="s">
        <v>21</v>
      </c>
      <c r="C137" s="4" t="s">
        <v>550</v>
      </c>
      <c r="D137" s="3" t="str">
        <f>HYPERLINK("http://www.monitor.co.ug/OpEd/OpEdColumnists/CharlesOnyangoObbo/-/878504/1227964/-/hoiv3u/-/index.html")</f>
        <v>http://www.monitor.co.ug/OpEd/OpEdColumnists/CharlesOnyangoObbo/-/878504/1227964/-/hoiv3u/-/index.html</v>
      </c>
    </row>
    <row r="138" spans="1:4" ht="15">
      <c r="A138" s="3" t="s">
        <v>111</v>
      </c>
      <c r="B138" s="5">
        <v>39305</v>
      </c>
      <c r="C138" s="4" t="s">
        <v>560</v>
      </c>
      <c r="D138" s="3" t="str">
        <f>HYPERLINK("http://www.newvision.co.ug/news/480980-muzizi-bridge-to-be-renovated.html")</f>
        <v>http://www.newvision.co.ug/news/480980-muzizi-bridge-to-be-renovated.html</v>
      </c>
    </row>
    <row r="139" spans="1:4" ht="15">
      <c r="A139" s="3" t="s">
        <v>111</v>
      </c>
      <c r="B139" s="5">
        <v>40097</v>
      </c>
      <c r="C139" s="4" t="s">
        <v>560</v>
      </c>
      <c r="D139" s="3" t="str">
        <f>HYPERLINK("http://www.monitor.co.ug/News/Education/-/688336/692306/-/yykafh/-/index.html")</f>
        <v>http://www.monitor.co.ug/News/Education/-/688336/692306/-/yykafh/-/index.html</v>
      </c>
    </row>
    <row r="140" spans="1:4" ht="15">
      <c r="A140" s="3" t="s">
        <v>111</v>
      </c>
      <c r="B140" s="5">
        <v>40427</v>
      </c>
      <c r="C140" s="4" t="s">
        <v>822</v>
      </c>
      <c r="D140" s="3" t="str">
        <f>HYPERLINK("http://www.newvision.co.ug/news/617498-unicef-donates-to-kabarole.html")</f>
        <v>http://www.newvision.co.ug/news/617498-unicef-donates-to-kabarole.html</v>
      </c>
    </row>
    <row r="141" spans="1:4" ht="15">
      <c r="A141" s="3" t="s">
        <v>111</v>
      </c>
      <c r="B141" s="5">
        <v>40485</v>
      </c>
      <c r="C141" s="4" t="s">
        <v>560</v>
      </c>
      <c r="D141" s="3" t="str">
        <f>HYPERLINK("http://www.monitor.co.ug/News/National/-/688334/877080/-/wj8qjo/-/index.html")</f>
        <v>http://www.monitor.co.ug/News/National/-/688334/877080/-/wj8qjo/-/index.html</v>
      </c>
    </row>
    <row r="142" spans="1:4" ht="15">
      <c r="A142" s="3" t="s">
        <v>111</v>
      </c>
      <c r="B142" s="5">
        <v>40853</v>
      </c>
      <c r="C142" s="4" t="s">
        <v>560</v>
      </c>
      <c r="D142" s="3" t="str">
        <f>HYPERLINK("http://www.monitor.co.ug/News/National/-/688334/1178412/-/c0srd0z/-/index.html")</f>
        <v>http://www.monitor.co.ug/News/National/-/688334/1178412/-/c0srd0z/-/index.html</v>
      </c>
    </row>
    <row r="143" spans="1:4" ht="15">
      <c r="A143" s="3" t="s">
        <v>111</v>
      </c>
      <c r="B143" s="5">
        <v>40950</v>
      </c>
      <c r="C143" s="4" t="s">
        <v>560</v>
      </c>
      <c r="D143" s="3" t="str">
        <f>HYPERLINK("http://www.monitor.co.ug/News/National/Business-comes-to-a-standstill-as-River-Mpanga-floods/-/688334/1609750/-/lyjs76/-/index.html")</f>
        <v>http://www.monitor.co.ug/News/National/Business-comes-to-a-standstill-as-River-Mpanga-floods/-/688334/1609750/-/lyjs76/-/index.html</v>
      </c>
    </row>
    <row r="144" spans="1:4" ht="15">
      <c r="A144" s="3" t="s">
        <v>111</v>
      </c>
      <c r="B144" s="5">
        <v>41010</v>
      </c>
      <c r="C144" s="4" t="s">
        <v>560</v>
      </c>
      <c r="D144" s="3" t="str">
        <f>HYPERLINK("http://www.monitor.co.ug/News/National/River-banks-burst-as-floods-sweep-homes-and-paralyse-businesses/-/688334/1610756/-/qymt5/-/index.html")</f>
        <v>http://www.monitor.co.ug/News/National/River-banks-burst-as-floods-sweep-homes-and-paralyse-businesses/-/688334/1610756/-/qymt5/-/index.html</v>
      </c>
    </row>
    <row r="145" spans="1:4" ht="15">
      <c r="A145" s="3" t="s">
        <v>111</v>
      </c>
      <c r="B145" s="5">
        <v>41279</v>
      </c>
      <c r="C145" s="4" t="s">
        <v>560</v>
      </c>
      <c r="D145" s="3" t="str">
        <f>HYPERLINK("http://www.monitor.co.ug/News/National/Four-dead-as-flooding-hits-Kasese-town/-/688334/1766862/-/gc8w5wz/-/index.html")</f>
        <v>http://www.monitor.co.ug/News/National/Four-dead-as-flooding-hits-Kasese-town/-/688334/1766862/-/gc8w5wz/-/index.html</v>
      </c>
    </row>
    <row r="146" spans="1:4" ht="15">
      <c r="A146" s="3" t="s">
        <v>111</v>
      </c>
      <c r="B146" s="5">
        <v>41310</v>
      </c>
      <c r="C146" s="4" t="s">
        <v>560</v>
      </c>
      <c r="D146" s="3" t="str">
        <f>HYPERLINK("http://www.newvision.co.ug/news/642257-four-killed-in-kasese-floods-scores-stranded.html")</f>
        <v>http://www.newvision.co.ug/news/642257-four-killed-in-kasese-floods-scores-stranded.html</v>
      </c>
    </row>
    <row r="147" spans="1:4" ht="15">
      <c r="A147" s="3" t="s">
        <v>111</v>
      </c>
      <c r="B147" s="5">
        <v>41338</v>
      </c>
      <c r="C147" s="4" t="s">
        <v>560</v>
      </c>
      <c r="D147" s="3" t="str">
        <f>HYPERLINK("http://www.monitor.co.ug/News/National/Floods--Kilembe-hospital-closes/-/688334/1840258/-/n8fk/-/index.html")</f>
        <v>http://www.monitor.co.ug/News/National/Floods--Kilembe-hospital-closes/-/688334/1840258/-/n8fk/-/index.html</v>
      </c>
    </row>
    <row r="148" spans="1:4" ht="15">
      <c r="A148" s="3" t="s">
        <v>111</v>
      </c>
      <c r="B148" s="5">
        <v>41430</v>
      </c>
      <c r="C148" s="4" t="s">
        <v>560</v>
      </c>
      <c r="D148" s="3" t="str">
        <f>HYPERLINK("http://www.newvision.co.ug/news/642385-floods-regional-disaster-officers-deployed.html")</f>
        <v>http://www.newvision.co.ug/news/642385-floods-regional-disaster-officers-deployed.html</v>
      </c>
    </row>
    <row r="149" spans="1:4" ht="15">
      <c r="A149" s="3" t="s">
        <v>111</v>
      </c>
      <c r="B149" s="5">
        <v>41430</v>
      </c>
      <c r="C149" s="4" t="s">
        <v>560</v>
      </c>
      <c r="D149" s="3" t="str">
        <f>HYPERLINK("http://www.monitor.co.ug/News/National/Kasese-river-turns-deathtrap-as-heavy-rains-continue-to-pound/-/688334/1842934/-/sgoq3bz/-/index.html")</f>
        <v>http://www.monitor.co.ug/News/National/Kasese-river-turns-deathtrap-as-heavy-rains-continue-to-pound/-/688334/1842934/-/sgoq3bz/-/index.html</v>
      </c>
    </row>
    <row r="150" spans="1:4" ht="15">
      <c r="A150" s="3" t="s">
        <v>111</v>
      </c>
      <c r="B150" s="5">
        <v>41460</v>
      </c>
      <c r="C150" s="4" t="s">
        <v>560</v>
      </c>
      <c r="D150" s="3" t="str">
        <f>HYPERLINK("http://www.newvision.co.ug/news/642414-govt-deploys-regional-disaster-officers.html")</f>
        <v>http://www.newvision.co.ug/news/642414-govt-deploys-regional-disaster-officers.html</v>
      </c>
    </row>
    <row r="151" spans="1:4" ht="15">
      <c r="A151" s="3" t="s">
        <v>111</v>
      </c>
      <c r="B151" s="5">
        <v>41460</v>
      </c>
      <c r="C151" s="4" t="s">
        <v>560</v>
      </c>
      <c r="D151" s="3" t="str">
        <f>HYPERLINK("http://www.monitor.co.ug/artsculture/Reviews/The-Kasese-river-that--angry/-/691232/1844240/-/okebx7z/-/index.html")</f>
        <v>http://www.monitor.co.ug/artsculture/Reviews/The-Kasese-river-that--angry/-/691232/1844240/-/okebx7z/-/index.html</v>
      </c>
    </row>
    <row r="152" spans="1:4" ht="15">
      <c r="A152" s="3" t="s">
        <v>111</v>
      </c>
      <c r="B152" s="5">
        <v>41460</v>
      </c>
      <c r="C152" s="4" t="s">
        <v>560</v>
      </c>
      <c r="D152" s="3" t="str">
        <f>HYPERLINK("http://www.monitor.co.ug/News/National/Two-more-dead-in-fresh-Kasese-floods/-/688334/1844362/-/12umlptz/-/index.html")</f>
        <v>http://www.monitor.co.ug/News/National/Two-more-dead-in-fresh-Kasese-floods/-/688334/1844362/-/12umlptz/-/index.html</v>
      </c>
    </row>
    <row r="153" spans="1:4" ht="15">
      <c r="A153" s="3" t="s">
        <v>111</v>
      </c>
      <c r="B153" s="5">
        <v>41491</v>
      </c>
      <c r="C153" s="4" t="s">
        <v>560</v>
      </c>
      <c r="D153" s="3" t="str">
        <f>HYPERLINK("http://www.newvision.co.ug/news/642452-floods-cut-off-19-sub-counties.html")</f>
        <v>http://www.newvision.co.ug/news/642452-floods-cut-off-19-sub-counties.html</v>
      </c>
    </row>
    <row r="154" spans="1:4" ht="15">
      <c r="A154" s="3" t="s">
        <v>111</v>
      </c>
      <c r="B154" s="5">
        <v>41492</v>
      </c>
      <c r="C154" s="4" t="s">
        <v>560</v>
      </c>
      <c r="D154" s="3" t="str">
        <f>HYPERLINK("http://www.monitor.co.ug/News/National/Kasese-residents-pick-up-life-after-the-devastating-floods/-/688334/1875832/-/pss3b7/-/index.html")</f>
        <v>http://www.monitor.co.ug/News/National/Kasese-residents-pick-up-life-after-the-devastating-floods/-/688334/1875832/-/pss3b7/-/index.html</v>
      </c>
    </row>
    <row r="155" spans="1:4" ht="15">
      <c r="A155" s="3" t="s">
        <v>111</v>
      </c>
      <c r="B155" s="5">
        <v>41913</v>
      </c>
      <c r="C155" s="4" t="s">
        <v>560</v>
      </c>
      <c r="D155" s="3" t="str">
        <f>HYPERLINK("http://www.newvision.co.ug/news/651297-causes-of-river-nyamambwa-floods.html")</f>
        <v>http://www.newvision.co.ug/news/651297-causes-of-river-nyamambwa-floods.html</v>
      </c>
    </row>
    <row r="156" spans="1:4" ht="15">
      <c r="A156" s="3" t="s">
        <v>111</v>
      </c>
      <c r="B156" s="5">
        <v>41979</v>
      </c>
      <c r="C156" s="4" t="s">
        <v>560</v>
      </c>
      <c r="D156" s="3" t="str">
        <f>HYPERLINK("http://www.monitor.co.ug/News/National/Government-to-increase-teachers--salaries/-/688334/2346192/-/iccfng/-/index.html")</f>
        <v>http://www.monitor.co.ug/News/National/Government-to-increase-teachers--salaries/-/688334/2346192/-/iccfng/-/index.html</v>
      </c>
    </row>
    <row r="157" spans="1:4" ht="15">
      <c r="A157" s="3" t="s">
        <v>111</v>
      </c>
      <c r="B157" s="5">
        <v>42042</v>
      </c>
      <c r="C157" s="4" t="s">
        <v>560</v>
      </c>
      <c r="D157" s="3" t="str">
        <f>HYPERLINK("http://www.monitor.co.ug/News/National/Floods-cut-off-Kasese-Fort-Portal-road/-/688334/2772252/-/qtogiyz/-/index.html")</f>
        <v>http://www.monitor.co.ug/News/National/Floods-cut-off-Kasese-Fort-Portal-road/-/688334/2772252/-/qtogiyz/-/index.html</v>
      </c>
    </row>
    <row r="158" spans="1:4" ht="15">
      <c r="A158" s="3" t="s">
        <v>111</v>
      </c>
      <c r="B158" s="5">
        <v>42217</v>
      </c>
      <c r="C158" s="4" t="s">
        <v>560</v>
      </c>
      <c r="D158" s="3" t="str">
        <f>HYPERLINK("http://www.monitor.co.ug/artsculture/Reviews/A-desperate-struggle-to-manage-floods/-/691232/2581526/-/66n4v0/-/index.html")</f>
        <v>http://www.monitor.co.ug/artsculture/Reviews/A-desperate-struggle-to-manage-floods/-/691232/2581526/-/66n4v0/-/index.html</v>
      </c>
    </row>
    <row r="159" spans="1:4" ht="15">
      <c r="A159" s="3" t="s">
        <v>111</v>
      </c>
      <c r="B159" s="5">
        <v>42345</v>
      </c>
      <c r="C159" s="4" t="s">
        <v>560</v>
      </c>
      <c r="D159" s="3" t="str">
        <f>HYPERLINK("http://www.monitor.co.ug/SpecialReports/Who-will-tame-Kasese-river-floods/-/688342/2783754/-/syrstnz/-/index.html")</f>
        <v>http://www.monitor.co.ug/SpecialReports/Who-will-tame-Kasese-river-floods/-/688342/2783754/-/syrstnz/-/index.html</v>
      </c>
    </row>
    <row r="160" spans="1:4" ht="15">
      <c r="A160" s="3" t="s">
        <v>111</v>
      </c>
      <c r="B160" s="4" t="s">
        <v>112</v>
      </c>
      <c r="C160" s="4" t="s">
        <v>560</v>
      </c>
      <c r="D160" s="3" t="str">
        <f>HYPERLINK("http://www.monitor.co.ug/Business/Prosper/-/688616/822954/-/jjuh3vz/-/index.html")</f>
        <v>http://www.monitor.co.ug/Business/Prosper/-/688616/822954/-/jjuh3vz/-/index.html</v>
      </c>
    </row>
    <row r="161" spans="1:4" ht="15">
      <c r="A161" s="3" t="s">
        <v>111</v>
      </c>
      <c r="B161" s="4" t="s">
        <v>121</v>
      </c>
      <c r="C161" s="4" t="s">
        <v>560</v>
      </c>
      <c r="D161" s="3" t="str">
        <f>HYPERLINK("http://www.monitor.co.ug/OpEd/Commentary/Uganda-needs-real-fundamental-change/-/689364/2623802/-/dv2v7cz/-/index.html")</f>
        <v>http://www.monitor.co.ug/OpEd/Commentary/Uganda-needs-real-fundamental-change/-/689364/2623802/-/dv2v7cz/-/index.html</v>
      </c>
    </row>
    <row r="162" spans="1:4" ht="15">
      <c r="A162" s="3" t="s">
        <v>111</v>
      </c>
      <c r="B162" s="4" t="s">
        <v>121</v>
      </c>
      <c r="C162" s="4" t="s">
        <v>560</v>
      </c>
      <c r="D162" s="3" t="str">
        <f>HYPERLINK("http://www.monitor.co.ug/Magazines/PeoplePower/Uganda-needs-real-fundamental-change/-/689844/2623554/-/42tnr8z/-/index.html")</f>
        <v>http://www.monitor.co.ug/Magazines/PeoplePower/Uganda-needs-real-fundamental-change/-/689844/2623554/-/42tnr8z/-/index.html</v>
      </c>
    </row>
    <row r="163" spans="1:4" ht="15">
      <c r="A163" s="3" t="s">
        <v>111</v>
      </c>
      <c r="B163" s="4" t="s">
        <v>115</v>
      </c>
      <c r="C163" s="4" t="s">
        <v>560</v>
      </c>
      <c r="D163" s="3" t="str">
        <f>HYPERLINK("http://www.monitor.co.ug/News/National/-/688334/1236448/-/bj8kr1z/-/index.html")</f>
        <v>http://www.monitor.co.ug/News/National/-/688334/1236448/-/bj8kr1z/-/index.html</v>
      </c>
    </row>
    <row r="164" spans="1:4" ht="15">
      <c r="A164" s="3" t="s">
        <v>111</v>
      </c>
      <c r="B164" s="4" t="s">
        <v>40</v>
      </c>
      <c r="C164" s="4" t="s">
        <v>560</v>
      </c>
      <c r="D164" s="3" t="str">
        <f>HYPERLINK("http://www.monitor.co.ug/News/National/Residents-asked-to-relocate/-/688334/1853754/-/x75ikfz/-/index.html")</f>
        <v>http://www.monitor.co.ug/News/National/Residents-asked-to-relocate/-/688334/1853754/-/x75ikfz/-/index.html</v>
      </c>
    </row>
    <row r="165" spans="1:4" ht="15">
      <c r="A165" s="3" t="s">
        <v>111</v>
      </c>
      <c r="B165" s="4" t="s">
        <v>113</v>
      </c>
      <c r="C165" s="4" t="s">
        <v>560</v>
      </c>
      <c r="D165" s="3" t="str">
        <f>HYPERLINK("http://www.monitor.co.ug/News/Insight/-/688338/900954/-/7tvsy6/-/index.html")</f>
        <v>http://www.monitor.co.ug/News/Insight/-/688338/900954/-/7tvsy6/-/index.html</v>
      </c>
    </row>
    <row r="166" spans="1:4" ht="15">
      <c r="A166" s="3" t="s">
        <v>111</v>
      </c>
      <c r="B166" s="4" t="s">
        <v>119</v>
      </c>
      <c r="C166" s="4" t="s">
        <v>560</v>
      </c>
      <c r="D166" s="3" t="str">
        <f>HYPERLINK("http://www.monitor.co.ug/artsculture/Reviews/Bus-fares-double-again-this-festive-season/-/691232/2561170/-/xvk3i2/-/index.html")</f>
        <v>http://www.monitor.co.ug/artsculture/Reviews/Bus-fares-double-again-this-festive-season/-/691232/2561170/-/xvk3i2/-/index.html</v>
      </c>
    </row>
    <row r="167" spans="1:4" ht="15">
      <c r="A167" s="3" t="s">
        <v>111</v>
      </c>
      <c r="B167" s="4" t="s">
        <v>102</v>
      </c>
      <c r="C167" s="4" t="s">
        <v>773</v>
      </c>
      <c r="D167" s="3" t="str">
        <f>HYPERLINK("http://www.newvision.co.ug/news/315804-floods-destroy-crops-in-western-northern-regions.html")</f>
        <v>http://www.newvision.co.ug/news/315804-floods-destroy-crops-in-western-northern-regions.html</v>
      </c>
    </row>
    <row r="168" spans="1:4" ht="15">
      <c r="A168" s="3" t="s">
        <v>111</v>
      </c>
      <c r="B168" s="4" t="s">
        <v>102</v>
      </c>
      <c r="C168" s="4" t="s">
        <v>773</v>
      </c>
      <c r="D168" s="3" t="str">
        <f>HYPERLINK("http://www.newvision.co.ug/news/1039-floods-destroy-crops-in-western-northern-regions.html")</f>
        <v>http://www.newvision.co.ug/news/1039-floods-destroy-crops-in-western-northern-regions.html</v>
      </c>
    </row>
    <row r="169" spans="1:4" ht="15">
      <c r="A169" s="3" t="s">
        <v>111</v>
      </c>
      <c r="B169" s="4" t="s">
        <v>90</v>
      </c>
      <c r="C169" s="4" t="s">
        <v>560</v>
      </c>
      <c r="D169" s="3" t="str">
        <f>HYPERLINK("http://www.monitor.co.ug/Magazines/PeoplePower/Money-fails-to-beat-Kampala-markets-politics/-/689844/2041634/-/du52hs/-/index.html")</f>
        <v>http://www.monitor.co.ug/Magazines/PeoplePower/Money-fails-to-beat-Kampala-markets-politics/-/689844/2041634/-/du52hs/-/index.html</v>
      </c>
    </row>
    <row r="170" spans="1:4" ht="15">
      <c r="A170" s="3" t="s">
        <v>111</v>
      </c>
      <c r="B170" s="4" t="s">
        <v>23</v>
      </c>
      <c r="C170" s="4" t="s">
        <v>560</v>
      </c>
      <c r="D170" s="3" t="str">
        <f>HYPERLINK("http://www.monitor.co.ug/Business/Auto/More-on-bikers--car-loans-and-insurance-at-the-auto-show/-/688614/1725684/-/kq8x5ez/-/index.html")</f>
        <v>http://www.monitor.co.ug/Business/Auto/More-on-bikers--car-loans-and-insurance-at-the-auto-show/-/688614/1725684/-/kq8x5ez/-/index.html</v>
      </c>
    </row>
    <row r="171" spans="1:4" ht="15">
      <c r="A171" s="3" t="s">
        <v>111</v>
      </c>
      <c r="B171" s="4" t="s">
        <v>80</v>
      </c>
      <c r="C171" s="4" t="s">
        <v>560</v>
      </c>
      <c r="D171" s="3" t="str">
        <f>HYPERLINK("http://www.newvision.co.ug/news/618775-massive-rains-disrupt-farming-and-transport.html")</f>
        <v>http://www.newvision.co.ug/news/618775-massive-rains-disrupt-farming-and-transport.html</v>
      </c>
    </row>
    <row r="172" spans="1:4" ht="15">
      <c r="A172" s="3" t="s">
        <v>111</v>
      </c>
      <c r="B172" s="4" t="s">
        <v>114</v>
      </c>
      <c r="C172" s="4" t="s">
        <v>550</v>
      </c>
      <c r="D172" s="3" t="str">
        <f>HYPERLINK("http://www.monitor.co.ug/News/National/-/688334/1077286/-/cjw8siz/-/index.html")</f>
        <v>http://www.monitor.co.ug/News/National/-/688334/1077286/-/cjw8siz/-/index.html</v>
      </c>
    </row>
    <row r="173" spans="1:4" ht="15">
      <c r="A173" s="3" t="s">
        <v>111</v>
      </c>
      <c r="B173" s="4" t="s">
        <v>77</v>
      </c>
      <c r="C173" s="4" t="s">
        <v>560</v>
      </c>
      <c r="D173" s="3" t="str">
        <f>HYPERLINK("http://www.monitor.co.ug/News/National/-/688334/869414/-/wino9g/-/index.html")</f>
        <v>http://www.monitor.co.ug/News/National/-/688334/869414/-/wino9g/-/index.html</v>
      </c>
    </row>
    <row r="174" spans="1:4" ht="15">
      <c r="A174" s="3" t="s">
        <v>111</v>
      </c>
      <c r="B174" s="4" t="s">
        <v>118</v>
      </c>
      <c r="C174" s="4" t="s">
        <v>560</v>
      </c>
      <c r="D174" s="3" t="str">
        <f>HYPERLINK("http://www.monitor.co.ug/SpecialReports/Kabarole-expects-a-two-horse-race-between-Businge-a/-/688342/2537998/-/crwomu/-/index.html")</f>
        <v>http://www.monitor.co.ug/SpecialReports/Kabarole-expects-a-two-horse-race-between-Businge-a/-/688342/2537998/-/crwomu/-/index.html</v>
      </c>
    </row>
    <row r="175" spans="1:4" ht="15">
      <c r="A175" s="3" t="s">
        <v>111</v>
      </c>
      <c r="B175" s="4" t="s">
        <v>120</v>
      </c>
      <c r="C175" s="4" t="s">
        <v>560</v>
      </c>
      <c r="D175" s="3" t="str">
        <f>HYPERLINK("http://www.monitor.co.ug/News/National/When-Rwenzori-became-conflict-hotspot/-/688334/2572524/-/12qkh8wz/-/index.html")</f>
        <v>http://www.monitor.co.ug/News/National/When-Rwenzori-became-conflict-hotspot/-/688334/2572524/-/12qkh8wz/-/index.html</v>
      </c>
    </row>
    <row r="176" spans="1:4" ht="15">
      <c r="A176" s="3" t="s">
        <v>111</v>
      </c>
      <c r="B176" s="4" t="s">
        <v>116</v>
      </c>
      <c r="C176" s="4" t="s">
        <v>560</v>
      </c>
      <c r="D176" s="3" t="str">
        <f>HYPERLINK("http://www.monitor.co.ug/News/National/-/688334/1297706/-/bfikt7z/-/index.html")</f>
        <v>http://www.monitor.co.ug/News/National/-/688334/1297706/-/bfikt7z/-/index.html</v>
      </c>
    </row>
    <row r="177" spans="1:4" ht="15">
      <c r="A177" s="3" t="s">
        <v>122</v>
      </c>
      <c r="B177" s="5">
        <v>40341</v>
      </c>
      <c r="C177" s="4" t="s">
        <v>584</v>
      </c>
      <c r="D177" s="3" t="str">
        <f>HYPERLINK("http://www.monitor.co.ug/SpecialReports/Elections/-/859108/1066876/-/jm413x/-/index.html")</f>
        <v>http://www.monitor.co.ug/SpecialReports/Elections/-/859108/1066876/-/jm413x/-/index.html</v>
      </c>
    </row>
    <row r="178" spans="1:4" ht="15">
      <c r="A178" s="3" t="s">
        <v>122</v>
      </c>
      <c r="B178" s="5">
        <v>42254</v>
      </c>
      <c r="C178" s="4" t="s">
        <v>693</v>
      </c>
      <c r="D178" s="3" t="str">
        <f>HYPERLINK("http://www.monitor.co.ug/artsculture/Reviews/Teso-mourns-the-passing-on-of-son-Charles-Omoding-Okui/-/691232/2779942/-/10kaaee/-/index.html")</f>
        <v>http://www.monitor.co.ug/artsculture/Reviews/Teso-mourns-the-passing-on-of-son-Charles-Omoding-Okui/-/691232/2779942/-/10kaaee/-/index.html</v>
      </c>
    </row>
    <row r="179" spans="1:4" ht="15">
      <c r="A179" s="3" t="s">
        <v>122</v>
      </c>
      <c r="B179" s="4" t="s">
        <v>125</v>
      </c>
      <c r="C179" s="4" t="s">
        <v>563</v>
      </c>
      <c r="D179" s="3" t="str">
        <f>HYPERLINK("http://www.monitor.co.ug/artsculture/Reviews/Starting-life-after-the-war/-/691232/1432760/-/14b4totz/-/index.html")</f>
        <v>http://www.monitor.co.ug/artsculture/Reviews/Starting-life-after-the-war/-/691232/1432760/-/14b4totz/-/index.html</v>
      </c>
    </row>
    <row r="180" spans="1:4" ht="15">
      <c r="A180" s="3" t="s">
        <v>122</v>
      </c>
      <c r="B180" s="4" t="s">
        <v>126</v>
      </c>
      <c r="C180" s="4" t="s">
        <v>122</v>
      </c>
      <c r="D180" s="3" t="str">
        <f>HYPERLINK("http://www.monitor.co.ug/OpEd/OpEdColumnists/KaroliSsemogerere/President-serves-big-turkey-on-the-eve-of-Christmas/-/878682/2568194/-/mt36vh/-/index.html")</f>
        <v>http://www.monitor.co.ug/OpEd/OpEdColumnists/KaroliSsemogerere/President-serves-big-turkey-on-the-eve-of-Christmas/-/878682/2568194/-/mt36vh/-/index.html</v>
      </c>
    </row>
    <row r="181" spans="1:4" ht="15">
      <c r="A181" s="3" t="s">
        <v>122</v>
      </c>
      <c r="B181" s="4" t="s">
        <v>124</v>
      </c>
      <c r="C181" s="4" t="s">
        <v>763</v>
      </c>
      <c r="D181" s="3" t="str">
        <f>HYPERLINK("http://www.monitor.co.ug/OpEd/Editorial/-/689360/1224536/-/a0h0l5/-/index.html")</f>
        <v>http://www.monitor.co.ug/OpEd/Editorial/-/689360/1224536/-/a0h0l5/-/index.html</v>
      </c>
    </row>
    <row r="182" spans="1:4" ht="15">
      <c r="A182" s="3" t="s">
        <v>127</v>
      </c>
      <c r="B182" s="5">
        <v>40641</v>
      </c>
      <c r="C182" s="4" t="s">
        <v>571</v>
      </c>
      <c r="D182" s="3" t="str">
        <f>HYPERLINK("http://www.monitor.co.ug/OpEd/OpEdColumnists/KaroliSsemogerere/-/878682/1213054/-/4d4hypz/-/index.html")</f>
        <v>http://www.monitor.co.ug/OpEd/OpEdColumnists/KaroliSsemogerere/-/878682/1213054/-/4d4hypz/-/index.html</v>
      </c>
    </row>
    <row r="183" spans="1:4" ht="15">
      <c r="A183" s="3" t="s">
        <v>128</v>
      </c>
      <c r="B183" s="5">
        <v>38145</v>
      </c>
      <c r="C183" s="4" t="s">
        <v>128</v>
      </c>
      <c r="D183" s="3" t="str">
        <f>HYPERLINK("http://www.newvision.co.ug/news/413696-news-briefs.html")</f>
        <v>http://www.newvision.co.ug/news/413696-news-briefs.html</v>
      </c>
    </row>
    <row r="184" spans="1:4" ht="15">
      <c r="A184" s="3" t="s">
        <v>128</v>
      </c>
      <c r="B184" s="5">
        <v>38232</v>
      </c>
      <c r="C184" s="4" t="s">
        <v>128</v>
      </c>
      <c r="D184" s="3" t="str">
        <f>HYPERLINK("http://www.monitor.co.ug/SpecialReports/WarMemories/-/859092/858444/-/4a7f64z/-/index.html")</f>
        <v>http://www.monitor.co.ug/SpecialReports/WarMemories/-/859092/858444/-/4a7f64z/-/index.html</v>
      </c>
    </row>
    <row r="185" spans="1:4" ht="15">
      <c r="A185" s="3" t="s">
        <v>128</v>
      </c>
      <c r="B185" s="5">
        <v>38232</v>
      </c>
      <c r="C185" s="4" t="s">
        <v>562</v>
      </c>
      <c r="D185" s="3" t="str">
        <f>HYPERLINK("http://www.monitor.co.ug/SpecialReports/WarMemories/-/859092/858466/-/4a7f4az/-/index.html")</f>
        <v>http://www.monitor.co.ug/SpecialReports/WarMemories/-/859092/858466/-/4a7f4az/-/index.html</v>
      </c>
    </row>
    <row r="186" spans="1:4" ht="15">
      <c r="A186" s="3" t="s">
        <v>128</v>
      </c>
      <c r="B186" s="5">
        <v>38302</v>
      </c>
      <c r="C186" s="4" t="s">
        <v>128</v>
      </c>
      <c r="D186" s="3" t="str">
        <f>HYPERLINK("http://www.newvision.co.ug/news/409703-in-brief.html")</f>
        <v>http://www.newvision.co.ug/news/409703-in-brief.html</v>
      </c>
    </row>
    <row r="187" spans="1:4" ht="15">
      <c r="A187" s="3" t="s">
        <v>128</v>
      </c>
      <c r="B187" s="5">
        <v>38359</v>
      </c>
      <c r="C187" s="4" t="s">
        <v>624</v>
      </c>
      <c r="D187" s="3" t="str">
        <f>HYPERLINK("http://www.newvision.co.ug/news/440432-Ã¢-ekisanja-protesters-violated-guidelinesÃ¢.html")</f>
        <v>http://www.newvision.co.ug/news/440432-Ã¢-ekisanja-protesters-violated-guidelinesÃ¢.html</v>
      </c>
    </row>
    <row r="188" spans="1:4" ht="15">
      <c r="A188" s="3" t="s">
        <v>128</v>
      </c>
      <c r="B188" s="5">
        <v>38880</v>
      </c>
      <c r="C188" s="4" t="s">
        <v>580</v>
      </c>
      <c r="D188" s="3" t="str">
        <f>HYPERLINK("http://www.newvision.co.ug/news/454697-kampala-flooded-after-downpour.html")</f>
        <v>http://www.newvision.co.ug/news/454697-kampala-flooded-after-downpour.html</v>
      </c>
    </row>
    <row r="189" spans="1:4" ht="15">
      <c r="A189" s="3" t="s">
        <v>128</v>
      </c>
      <c r="B189" s="5">
        <v>39029</v>
      </c>
      <c r="C189" s="4" t="s">
        <v>128</v>
      </c>
      <c r="D189" s="3" t="str">
        <f>HYPERLINK("http://www.newvision.co.ug/news/462574-foodstuffs-flood.html")</f>
        <v>http://www.newvision.co.ug/news/462574-foodstuffs-flood.html</v>
      </c>
    </row>
    <row r="190" spans="1:4" ht="15">
      <c r="A190" s="3" t="s">
        <v>128</v>
      </c>
      <c r="B190" s="5">
        <v>39033</v>
      </c>
      <c r="C190" s="4" t="s">
        <v>128</v>
      </c>
      <c r="D190" s="3" t="str">
        <f>HYPERLINK("http://www.newvision.co.ug/news/454336-govt-joins-kcc-to-fight-floods.html")</f>
        <v>http://www.newvision.co.ug/news/454336-govt-joins-kcc-to-fight-floods.html</v>
      </c>
    </row>
    <row r="191" spans="1:4" ht="15">
      <c r="A191" s="3" t="s">
        <v>128</v>
      </c>
      <c r="B191" s="5">
        <v>39063</v>
      </c>
      <c r="C191" s="4" t="s">
        <v>626</v>
      </c>
      <c r="D191" s="3" t="str">
        <f>HYPERLINK("http://www.newvision.co.ug/news/454272-floods-blamed-on-bugolobi-buildings.html")</f>
        <v>http://www.newvision.co.ug/news/454272-floods-blamed-on-bugolobi-buildings.html</v>
      </c>
    </row>
    <row r="192" spans="1:4" ht="15">
      <c r="A192" s="3" t="s">
        <v>128</v>
      </c>
      <c r="B192" s="5">
        <v>39123</v>
      </c>
      <c r="C192" s="4" t="s">
        <v>632</v>
      </c>
      <c r="D192" s="3" t="str">
        <f>HYPERLINK("http://www.monitor.co.ug/News/National/-/688334/790450/-/w19bfj/-/index.html")</f>
        <v>http://www.monitor.co.ug/News/National/-/688334/790450/-/w19bfj/-/index.html</v>
      </c>
    </row>
    <row r="193" spans="1:4" ht="15">
      <c r="A193" s="3" t="s">
        <v>128</v>
      </c>
      <c r="B193" s="5">
        <v>39151</v>
      </c>
      <c r="C193" s="4" t="s">
        <v>633</v>
      </c>
      <c r="D193" s="3" t="str">
        <f>HYPERLINK("http://www.monitor.co.ug/News/Education/-/688336/791630/-/10ime9w/-/index.html")</f>
        <v>http://www.monitor.co.ug/News/Education/-/688336/791630/-/10ime9w/-/index.html</v>
      </c>
    </row>
    <row r="194" spans="1:4" ht="15">
      <c r="A194" s="3" t="s">
        <v>128</v>
      </c>
      <c r="B194" s="5">
        <v>39212</v>
      </c>
      <c r="C194" s="4" t="s">
        <v>634</v>
      </c>
      <c r="D194" s="3" t="str">
        <f>HYPERLINK("http://www.monitor.co.ug/News/-/688324/793296/-/bpumbd/-/index.html")</f>
        <v>http://www.monitor.co.ug/News/-/688324/793296/-/bpumbd/-/index.html</v>
      </c>
    </row>
    <row r="195" spans="1:4" ht="15">
      <c r="A195" s="3" t="s">
        <v>128</v>
      </c>
      <c r="B195" s="5">
        <v>39212</v>
      </c>
      <c r="C195" s="4" t="s">
        <v>635</v>
      </c>
      <c r="D195" s="3" t="str">
        <f>HYPERLINK("http://www.monitor.co.ug/News/-/688324/793252/-/bpum7p/-/index.html")</f>
        <v>http://www.monitor.co.ug/News/-/688324/793252/-/bpum7p/-/index.html</v>
      </c>
    </row>
    <row r="196" spans="1:4" ht="15">
      <c r="A196" s="3" t="s">
        <v>128</v>
      </c>
      <c r="B196" s="5">
        <v>39212</v>
      </c>
      <c r="C196" s="4" t="s">
        <v>505</v>
      </c>
      <c r="D196" s="3" t="str">
        <f>HYPERLINK("http://www.monitor.co.ug/News/-/688324/793284/-/bpumaf/-/index.html")</f>
        <v>http://www.monitor.co.ug/News/-/688324/793284/-/bpumaf/-/index.html</v>
      </c>
    </row>
    <row r="197" spans="1:4" ht="15">
      <c r="A197" s="3" t="s">
        <v>128</v>
      </c>
      <c r="B197" s="5">
        <v>39297</v>
      </c>
      <c r="C197" s="4" t="s">
        <v>128</v>
      </c>
      <c r="D197" s="3" t="str">
        <f>HYPERLINK("http://www.newvision.co.ug/news/498159-traders-oppose-economic-pacts-with-europe.html")</f>
        <v>http://www.newvision.co.ug/news/498159-traders-oppose-economic-pacts-with-europe.html</v>
      </c>
    </row>
    <row r="198" spans="1:4" ht="15">
      <c r="A198" s="3" t="s">
        <v>128</v>
      </c>
      <c r="B198" s="5">
        <v>39302</v>
      </c>
      <c r="C198" s="4" t="s">
        <v>128</v>
      </c>
      <c r="D198" s="3" t="str">
        <f>HYPERLINK("http://www.monitor.co.ug/Business/Prosper/-/688616/766740/-/k1ebklz/-/index.html")</f>
        <v>http://www.monitor.co.ug/Business/Prosper/-/688616/766740/-/k1ebklz/-/index.html</v>
      </c>
    </row>
    <row r="199" spans="1:4" ht="15">
      <c r="A199" s="3" t="s">
        <v>128</v>
      </c>
      <c r="B199" s="5">
        <v>39302</v>
      </c>
      <c r="C199" s="4" t="s">
        <v>128</v>
      </c>
      <c r="D199" s="3" t="str">
        <f>HYPERLINK("http://www.monitor.co.ug/Business/Commodities/-/688610/767564/-/gx92wo/-/index.html")</f>
        <v>http://www.monitor.co.ug/Business/Commodities/-/688610/767564/-/gx92wo/-/index.html</v>
      </c>
    </row>
    <row r="200" spans="1:4" ht="15">
      <c r="A200" s="3" t="s">
        <v>128</v>
      </c>
      <c r="B200" s="5">
        <v>39304</v>
      </c>
      <c r="C200" s="4" t="s">
        <v>128</v>
      </c>
      <c r="D200" s="3" t="str">
        <f>HYPERLINK("http://www.newvision.co.ug/news/483278-rains-affecting-road-repairs-minister.html")</f>
        <v>http://www.newvision.co.ug/news/483278-rains-affecting-road-repairs-minister.html</v>
      </c>
    </row>
    <row r="201" spans="1:4" ht="15">
      <c r="A201" s="3" t="s">
        <v>128</v>
      </c>
      <c r="B201" s="5">
        <v>39363</v>
      </c>
      <c r="C201" s="4" t="s">
        <v>128</v>
      </c>
      <c r="D201" s="3" t="str">
        <f>HYPERLINK("http://www.monitor.co.ug/News/Education/-/688336/770510/-/10hdlbv/-/index.html")</f>
        <v>http://www.monitor.co.ug/News/Education/-/688336/770510/-/10hdlbv/-/index.html</v>
      </c>
    </row>
    <row r="202" spans="1:4" ht="15">
      <c r="A202" s="3" t="s">
        <v>128</v>
      </c>
      <c r="B202" s="5">
        <v>39394</v>
      </c>
      <c r="C202" s="4" t="s">
        <v>493</v>
      </c>
      <c r="D202" s="3" t="str">
        <f>HYPERLINK("http://www.monitor.co.ug/OpEd/Commentary/-/689364/773076/-/b1q7g1z/-/index.html")</f>
        <v>http://www.monitor.co.ug/OpEd/Commentary/-/689364/773076/-/b1q7g1z/-/index.html</v>
      </c>
    </row>
    <row r="203" spans="1:4" ht="15">
      <c r="A203" s="3" t="s">
        <v>128</v>
      </c>
      <c r="B203" s="5">
        <v>39428</v>
      </c>
      <c r="C203" s="4" t="s">
        <v>128</v>
      </c>
      <c r="D203" s="3" t="str">
        <f>HYPERLINK("http://www.monitor.co.ug/Business/Commodities/-/688610/799636/-/h053xt/-/index.html")</f>
        <v>http://www.monitor.co.ug/Business/Commodities/-/688610/799636/-/h053xt/-/index.html</v>
      </c>
    </row>
    <row r="204" spans="1:4" ht="15">
      <c r="A204" s="3" t="s">
        <v>128</v>
      </c>
      <c r="B204" s="5">
        <v>39456</v>
      </c>
      <c r="C204" s="4" t="s">
        <v>128</v>
      </c>
      <c r="D204" s="3" t="str">
        <f>HYPERLINK("http://www.monitor.co.ug/News/Education/-/688336/749032/-/10fp4n1/-/index.html")</f>
        <v>http://www.monitor.co.ug/News/Education/-/688336/749032/-/10fp4n1/-/index.html</v>
      </c>
    </row>
    <row r="205" spans="1:4" ht="15">
      <c r="A205" s="3" t="s">
        <v>128</v>
      </c>
      <c r="B205" s="5">
        <v>39481</v>
      </c>
      <c r="C205" s="4" t="s">
        <v>563</v>
      </c>
      <c r="D205" s="3" t="str">
        <f>HYPERLINK("http://www.newvision.co.ug/news/525137-in-brief.html")</f>
        <v>http://www.newvision.co.ug/news/525137-in-brief.html</v>
      </c>
    </row>
    <row r="206" spans="1:4" ht="15">
      <c r="A206" s="3" t="s">
        <v>128</v>
      </c>
      <c r="B206" s="5">
        <v>39513</v>
      </c>
      <c r="C206" s="4" t="s">
        <v>407</v>
      </c>
      <c r="D206" s="3" t="str">
        <f>HYPERLINK("http://www.monitor.co.ug/OpEd/Letters/-/806314/739746/-/3gbb7ez/-/index.html")</f>
        <v>http://www.monitor.co.ug/OpEd/Letters/-/806314/739746/-/3gbb7ez/-/index.html</v>
      </c>
    </row>
    <row r="207" spans="1:4" ht="15">
      <c r="A207" s="3" t="s">
        <v>128</v>
      </c>
      <c r="B207" s="5">
        <v>39516</v>
      </c>
      <c r="C207" s="4" t="s">
        <v>128</v>
      </c>
      <c r="D207" s="3" t="str">
        <f>HYPERLINK("http://www.monitor.co.ug/Business/Commodities/-/688610/749222/-/gw2bbf/-/index.html")</f>
        <v>http://www.monitor.co.ug/Business/Commodities/-/688610/749222/-/gw2bbf/-/index.html</v>
      </c>
    </row>
    <row r="208" spans="1:4" ht="15">
      <c r="A208" s="3" t="s">
        <v>128</v>
      </c>
      <c r="B208" s="5">
        <v>39549</v>
      </c>
      <c r="C208" s="4" t="s">
        <v>128</v>
      </c>
      <c r="D208" s="3" t="str">
        <f>HYPERLINK("http://www.monitor.co.ug/News/National/-/688334/755844/-/vxvpk7/-/index.html")</f>
        <v>http://www.monitor.co.ug/News/National/-/688334/755844/-/vxvpk7/-/index.html</v>
      </c>
    </row>
    <row r="209" spans="1:4" ht="15">
      <c r="A209" s="3" t="s">
        <v>128</v>
      </c>
      <c r="B209" s="5">
        <v>39604</v>
      </c>
      <c r="C209" s="4" t="s">
        <v>128</v>
      </c>
      <c r="D209" s="3" t="str">
        <f>HYPERLINK("http://www.monitor.co.ug/artsculture/-/691192/737132/-/fbtweyz/-/index.html")</f>
        <v>http://www.monitor.co.ug/artsculture/-/691192/737132/-/fbtweyz/-/index.html</v>
      </c>
    </row>
    <row r="210" spans="1:4" ht="15">
      <c r="A210" s="3" t="s">
        <v>128</v>
      </c>
      <c r="B210" s="5">
        <v>39661</v>
      </c>
      <c r="C210" s="4" t="s">
        <v>128</v>
      </c>
      <c r="D210" s="3" t="str">
        <f>HYPERLINK("http://www.monitor.co.ug/News/Education/-/688336/724934/-/10edrbp/-/index.html")</f>
        <v>http://www.monitor.co.ug/News/Education/-/688336/724934/-/10edrbp/-/index.html</v>
      </c>
    </row>
    <row r="211" spans="1:4" ht="15">
      <c r="A211" s="3" t="s">
        <v>128</v>
      </c>
      <c r="B211" s="5">
        <v>39672</v>
      </c>
      <c r="C211" s="4" t="s">
        <v>128</v>
      </c>
      <c r="D211" s="3" t="str">
        <f>HYPERLINK("http://www.monitor.co.ug/News/National/-/688334/760268/-/vyen7s/-/index.html")</f>
        <v>http://www.monitor.co.ug/News/National/-/688334/760268/-/vyen7s/-/index.html</v>
      </c>
    </row>
    <row r="212" spans="1:4" ht="15">
      <c r="A212" s="3" t="s">
        <v>128</v>
      </c>
      <c r="B212" s="5">
        <v>39731</v>
      </c>
      <c r="C212" s="4" t="s">
        <v>128</v>
      </c>
      <c r="D212" s="3" t="str">
        <f>HYPERLINK("http://www.monitor.co.ug/Business/Commodities/-/688610/753172/-/gwjnmo/-/index.html")</f>
        <v>http://www.monitor.co.ug/Business/Commodities/-/688610/753172/-/gwjnmo/-/index.html</v>
      </c>
    </row>
    <row r="213" spans="1:4" ht="15">
      <c r="A213" s="3" t="s">
        <v>128</v>
      </c>
      <c r="B213" s="5">
        <v>39731</v>
      </c>
      <c r="C213" s="4" t="s">
        <v>641</v>
      </c>
      <c r="D213" s="3" t="str">
        <f>HYPERLINK("http://www.monitor.co.ug/News/Education/-/688336/753330/-/10g7jym/-/index.html")</f>
        <v>http://www.monitor.co.ug/News/Education/-/688336/753330/-/10g7jym/-/index.html</v>
      </c>
    </row>
    <row r="214" spans="1:4" ht="15">
      <c r="A214" s="3" t="s">
        <v>128</v>
      </c>
      <c r="B214" s="5">
        <v>39753</v>
      </c>
      <c r="C214" s="4" t="s">
        <v>693</v>
      </c>
      <c r="D214" s="3" t="str">
        <f>HYPERLINK("http://www.monitor.co.ug/News/National/-/688334/725168/-/vw1xfx/-/index.html")</f>
        <v>http://www.monitor.co.ug/News/National/-/688334/725168/-/vw1xfx/-/index.html</v>
      </c>
    </row>
    <row r="215" spans="1:4" ht="15">
      <c r="A215" s="3" t="s">
        <v>128</v>
      </c>
      <c r="B215" s="5">
        <v>39913</v>
      </c>
      <c r="C215" s="4" t="s">
        <v>648</v>
      </c>
      <c r="D215" s="3" t="str">
        <f>HYPERLINK("http://www.monitor.co.ug/Magazines/PeoplePower/-/689844/720504/-/4mr1j2/-/index.html")</f>
        <v>http://www.monitor.co.ug/Magazines/PeoplePower/-/689844/720504/-/4mr1j2/-/index.html</v>
      </c>
    </row>
    <row r="216" spans="1:4" ht="15">
      <c r="A216" s="3" t="s">
        <v>128</v>
      </c>
      <c r="B216" s="5">
        <v>39938</v>
      </c>
      <c r="C216" s="4" t="s">
        <v>128</v>
      </c>
      <c r="D216" s="3" t="str">
        <f>HYPERLINK("http://www.monitor.co.ug/artsculture/-/691192/705922/-/fdpqhhz/-/index.html")</f>
        <v>http://www.monitor.co.ug/artsculture/-/691192/705922/-/fdpqhhz/-/index.html</v>
      </c>
    </row>
    <row r="217" spans="1:4" ht="15">
      <c r="A217" s="3" t="s">
        <v>128</v>
      </c>
      <c r="B217" s="5">
        <v>39941</v>
      </c>
      <c r="C217" s="4" t="s">
        <v>565</v>
      </c>
      <c r="D217" s="3" t="str">
        <f>HYPERLINK("http://www.monitor.co.ug/artsculture/-/691192/714828/-/fd4womz/-/index.html")</f>
        <v>http://www.monitor.co.ug/artsculture/-/691192/714828/-/fd4womz/-/index.html</v>
      </c>
    </row>
    <row r="218" spans="1:4" ht="15">
      <c r="A218" s="3" t="s">
        <v>128</v>
      </c>
      <c r="B218" s="5">
        <v>39945</v>
      </c>
      <c r="C218" s="4" t="s">
        <v>128</v>
      </c>
      <c r="D218" s="3" t="str">
        <f>HYPERLINK("http://www.monitor.co.ug/News/National/-/688334/819428/-/wfkysv/-/index.html")</f>
        <v>http://www.monitor.co.ug/News/National/-/688334/819428/-/wfkysv/-/index.html</v>
      </c>
    </row>
    <row r="219" spans="1:4" ht="15">
      <c r="A219" s="3" t="s">
        <v>128</v>
      </c>
      <c r="B219" s="5">
        <v>39968</v>
      </c>
      <c r="C219" s="4" t="s">
        <v>128</v>
      </c>
      <c r="D219" s="3" t="str">
        <f>HYPERLINK("http://www.monitor.co.ug/News/Education/-/688336/702670/-/10d48ms/-/index.html")</f>
        <v>http://www.monitor.co.ug/News/Education/-/688336/702670/-/10d48ms/-/index.html</v>
      </c>
    </row>
    <row r="220" spans="1:4" ht="15">
      <c r="A220" s="3" t="s">
        <v>128</v>
      </c>
      <c r="B220" s="5">
        <v>40035</v>
      </c>
      <c r="C220" s="4" t="s">
        <v>128</v>
      </c>
      <c r="D220" s="3" t="str">
        <f>HYPERLINK("http://www.newvision.co.ug/news/559438-upc-suspends-four-senior-officials.html")</f>
        <v>http://www.newvision.co.ug/news/559438-upc-suspends-four-senior-officials.html</v>
      </c>
    </row>
    <row r="221" spans="1:4" ht="15">
      <c r="A221" s="3" t="s">
        <v>128</v>
      </c>
      <c r="B221" s="5">
        <v>40035</v>
      </c>
      <c r="C221" s="4" t="s">
        <v>128</v>
      </c>
      <c r="D221" s="3" t="str">
        <f>HYPERLINK("http://www.newvision.co.ug/news/534498-upc-suspends-four-senior-officials.html")</f>
        <v>http://www.newvision.co.ug/news/534498-upc-suspends-four-senior-officials.html</v>
      </c>
    </row>
    <row r="222" spans="1:4" ht="15">
      <c r="A222" s="3" t="s">
        <v>128</v>
      </c>
      <c r="B222" s="5">
        <v>40148</v>
      </c>
      <c r="C222" s="4" t="s">
        <v>128</v>
      </c>
      <c r="D222" s="3" t="str">
        <f>HYPERLINK("http://www.newvision.co.ug/news/578202-akright-in-dispute-with-us-based-client.html")</f>
        <v>http://www.newvision.co.ug/news/578202-akright-in-dispute-with-us-based-client.html</v>
      </c>
    </row>
    <row r="223" spans="1:4" ht="15">
      <c r="A223" s="3" t="s">
        <v>128</v>
      </c>
      <c r="B223" s="5">
        <v>40148</v>
      </c>
      <c r="C223" s="4" t="s">
        <v>128</v>
      </c>
      <c r="D223" s="3" t="str">
        <f>HYPERLINK("http://www.newvision.co.ug/news/553262-akright-in-dispute-with-us-based-client.html")</f>
        <v>http://www.newvision.co.ug/news/553262-akright-in-dispute-with-us-based-client.html</v>
      </c>
    </row>
    <row r="224" spans="1:4" ht="15">
      <c r="A224" s="3" t="s">
        <v>128</v>
      </c>
      <c r="B224" s="5">
        <v>40154</v>
      </c>
      <c r="C224" s="4" t="s">
        <v>128</v>
      </c>
      <c r="D224" s="3" t="str">
        <f>HYPERLINK("http://www.monitor.co.ug/OpEd/Letters/-/806314/712530/-/3hoat7z/-/index.html")</f>
        <v>http://www.monitor.co.ug/OpEd/Letters/-/806314/712530/-/3hoat7z/-/index.html</v>
      </c>
    </row>
    <row r="225" spans="1:4" ht="15">
      <c r="A225" s="3" t="s">
        <v>128</v>
      </c>
      <c r="B225" s="5">
        <v>40182</v>
      </c>
      <c r="C225" s="4" t="s">
        <v>603</v>
      </c>
      <c r="D225" s="3" t="str">
        <f>HYPERLINK("http://www.newvision.co.ug/news/622129-posta-donates-to-bududa.html")</f>
        <v>http://www.newvision.co.ug/news/622129-posta-donates-to-bududa.html</v>
      </c>
    </row>
    <row r="226" spans="1:4" ht="15">
      <c r="A226" s="3" t="s">
        <v>128</v>
      </c>
      <c r="B226" s="5">
        <v>40182</v>
      </c>
      <c r="C226" s="4" t="s">
        <v>625</v>
      </c>
      <c r="D226" s="3" t="str">
        <f>HYPERLINK("http://www.monitor.co.ug/Magazines/HomesandProperty/-/689858/890452/-/ao6jm7/-/index.html")</f>
        <v>http://www.monitor.co.ug/Magazines/HomesandProperty/-/689858/890452/-/ao6jm7/-/index.html</v>
      </c>
    </row>
    <row r="227" spans="1:4" ht="15">
      <c r="A227" s="3" t="s">
        <v>128</v>
      </c>
      <c r="B227" s="5">
        <v>40183</v>
      </c>
      <c r="C227" s="4" t="s">
        <v>603</v>
      </c>
      <c r="D227" s="3" t="str">
        <f>HYPERLINK("http://www.monitor.co.ug/OpEd/Commentary/-/689364/909602/-/a2r7saz/-/index.html")</f>
        <v>http://www.monitor.co.ug/OpEd/Commentary/-/689364/909602/-/a2r7saz/-/index.html</v>
      </c>
    </row>
    <row r="228" spans="1:4" ht="15">
      <c r="A228" s="3" t="s">
        <v>128</v>
      </c>
      <c r="B228" s="5">
        <v>40185</v>
      </c>
      <c r="C228" s="4" t="s">
        <v>128</v>
      </c>
      <c r="D228" s="3" t="str">
        <f>HYPERLINK("http://www.monitor.co.ug/Magazines/Health---Living/-/689846/949810/-/rg4w5a/-/index.html")</f>
        <v>http://www.monitor.co.ug/Magazines/Health---Living/-/689846/949810/-/rg4w5a/-/index.html</v>
      </c>
    </row>
    <row r="229" spans="1:4" ht="15">
      <c r="A229" s="3" t="s">
        <v>128</v>
      </c>
      <c r="B229" s="5">
        <v>40187</v>
      </c>
      <c r="C229" s="4" t="s">
        <v>664</v>
      </c>
      <c r="D229" s="3" t="str">
        <f>HYPERLINK("http://www.newvision.co.ug/news/612040-storm-pounds-city.html")</f>
        <v>http://www.newvision.co.ug/news/612040-storm-pounds-city.html</v>
      </c>
    </row>
    <row r="230" spans="1:4" ht="15">
      <c r="A230" s="3" t="s">
        <v>128</v>
      </c>
      <c r="B230" s="5">
        <v>40211</v>
      </c>
      <c r="C230" s="4" t="s">
        <v>651</v>
      </c>
      <c r="D230" s="3" t="str">
        <f>HYPERLINK("http://www.newvision.co.ug/news/626055-the-culverts-will-cause-flooding.html")</f>
        <v>http://www.newvision.co.ug/news/626055-the-culverts-will-cause-flooding.html</v>
      </c>
    </row>
    <row r="231" spans="1:4" ht="15">
      <c r="A231" s="3" t="s">
        <v>128</v>
      </c>
      <c r="B231" s="5">
        <v>40213</v>
      </c>
      <c r="C231" s="4" t="s">
        <v>603</v>
      </c>
      <c r="D231" s="3" t="str">
        <f>HYPERLINK("http://www.monitor.co.ug/Business/-/688322/891310/-/ediu2kz/-/index.html")</f>
        <v>http://www.monitor.co.ug/Business/-/688322/891310/-/ediu2kz/-/index.html</v>
      </c>
    </row>
    <row r="232" spans="1:4" ht="15">
      <c r="A232" s="3" t="s">
        <v>128</v>
      </c>
      <c r="B232" s="5">
        <v>40214</v>
      </c>
      <c r="C232" s="4" t="s">
        <v>645</v>
      </c>
      <c r="D232" s="3" t="str">
        <f>HYPERLINK("http://www.monitor.co.ug/OpEd/Commentary/-/689364/910012/-/a2c2gdz/-/index.html")</f>
        <v>http://www.monitor.co.ug/OpEd/Commentary/-/689364/910012/-/a2c2gdz/-/index.html</v>
      </c>
    </row>
    <row r="233" spans="1:4" ht="15">
      <c r="A233" s="3" t="s">
        <v>128</v>
      </c>
      <c r="B233" s="5">
        <v>40218</v>
      </c>
      <c r="C233" s="4" t="s">
        <v>562</v>
      </c>
      <c r="D233" s="3" t="str">
        <f>HYPERLINK("http://www.monitor.co.ug/News/National/-/688334/1001570/-/coc4nfz/-/index.html")</f>
        <v>http://www.monitor.co.ug/News/National/-/688334/1001570/-/coc4nfz/-/index.html</v>
      </c>
    </row>
    <row r="234" spans="1:4" ht="15">
      <c r="A234" s="3" t="s">
        <v>128</v>
      </c>
      <c r="B234" s="5">
        <v>40238</v>
      </c>
      <c r="C234" s="4" t="s">
        <v>128</v>
      </c>
      <c r="D234" s="3" t="str">
        <f>HYPERLINK("http://www.monitor.co.ug/News/National/-/688334/834724/-/wgpncw/-/index.html")</f>
        <v>http://www.monitor.co.ug/News/National/-/688334/834724/-/wgpncw/-/index.html</v>
      </c>
    </row>
    <row r="235" spans="1:4" ht="15">
      <c r="A235" s="3" t="s">
        <v>128</v>
      </c>
      <c r="B235" s="5">
        <v>40240</v>
      </c>
      <c r="C235" s="4" t="s">
        <v>128</v>
      </c>
      <c r="D235" s="3" t="str">
        <f>HYPERLINK("http://www.monitor.co.ug/News/National/-/688334/872106/-/wj5ajd/-/index.html")</f>
        <v>http://www.monitor.co.ug/News/National/-/688334/872106/-/wj5ajd/-/index.html</v>
      </c>
    </row>
    <row r="236" spans="1:4" ht="15">
      <c r="A236" s="3" t="s">
        <v>128</v>
      </c>
      <c r="B236" s="5">
        <v>40241</v>
      </c>
      <c r="C236" s="4" t="s">
        <v>563</v>
      </c>
      <c r="D236" s="3" t="str">
        <f>HYPERLINK("http://www.monitor.co.ug/News/National/-/688334/891786/-/wkcswn/-/index.html")</f>
        <v>http://www.monitor.co.ug/News/National/-/688334/891786/-/wkcswn/-/index.html</v>
      </c>
    </row>
    <row r="237" spans="1:4" ht="15">
      <c r="A237" s="3" t="s">
        <v>128</v>
      </c>
      <c r="B237" s="5">
        <v>40242</v>
      </c>
      <c r="C237" s="4" t="s">
        <v>128</v>
      </c>
      <c r="D237" s="3" t="str">
        <f>HYPERLINK("http://www.monitor.co.ug/News/National/-/688334/911046/-/wyi2w5/-/index.html")</f>
        <v>http://www.monitor.co.ug/News/National/-/688334/911046/-/wyi2w5/-/index.html</v>
      </c>
    </row>
    <row r="238" spans="1:4" ht="15">
      <c r="A238" s="3" t="s">
        <v>128</v>
      </c>
      <c r="B238" s="5">
        <v>40247</v>
      </c>
      <c r="C238" s="4" t="s">
        <v>128</v>
      </c>
      <c r="D238" s="3" t="str">
        <f>HYPERLINK("http://www.monitor.co.ug/SpecialReports/-/688342/1024640/-/u8chbw/-/index.html")</f>
        <v>http://www.monitor.co.ug/SpecialReports/-/688342/1024640/-/u8chbw/-/index.html</v>
      </c>
    </row>
    <row r="239" spans="1:4" ht="15">
      <c r="A239" s="3" t="s">
        <v>128</v>
      </c>
      <c r="B239" s="5">
        <v>40269</v>
      </c>
      <c r="C239" s="4" t="s">
        <v>128</v>
      </c>
      <c r="D239" s="3" t="str">
        <f>HYPERLINK("http://www.monitor.co.ug/News/Education/-/688336/835272/-/10y3kv8/-/index.html")</f>
        <v>http://www.monitor.co.ug/News/Education/-/688336/835272/-/10y3kv8/-/index.html</v>
      </c>
    </row>
    <row r="240" spans="1:4" ht="15">
      <c r="A240" s="3" t="s">
        <v>128</v>
      </c>
      <c r="B240" s="5">
        <v>40271</v>
      </c>
      <c r="C240" s="4" t="s">
        <v>603</v>
      </c>
      <c r="D240" s="3" t="str">
        <f>HYPERLINK("http://www.monitor.co.ug/News/National/-/688334/872906/-/wj5gt1/-/index.html")</f>
        <v>http://www.monitor.co.ug/News/National/-/688334/872906/-/wj5gt1/-/index.html</v>
      </c>
    </row>
    <row r="241" spans="1:4" ht="15">
      <c r="A241" s="3" t="s">
        <v>128</v>
      </c>
      <c r="B241" s="5">
        <v>40275</v>
      </c>
      <c r="C241" s="4" t="s">
        <v>603</v>
      </c>
      <c r="D241" s="3" t="str">
        <f>HYPERLINK("http://www.monitor.co.ug/News/Education/-/688336/951510/-/11jbobw/-/index.html")</f>
        <v>http://www.monitor.co.ug/News/Education/-/688336/951510/-/11jbobw/-/index.html</v>
      </c>
    </row>
    <row r="242" spans="1:4" ht="15">
      <c r="A242" s="3" t="s">
        <v>128</v>
      </c>
      <c r="B242" s="5">
        <v>40275</v>
      </c>
      <c r="C242" s="4" t="s">
        <v>575</v>
      </c>
      <c r="D242" s="3" t="str">
        <f>HYPERLINK("http://www.monitor.co.ug/OpEd/Commentary/-/689364/951528/-/9yu3llz/-/index.html")</f>
        <v>http://www.monitor.co.ug/OpEd/Commentary/-/689364/951528/-/9yu3llz/-/index.html</v>
      </c>
    </row>
    <row r="243" spans="1:4" ht="15">
      <c r="A243" s="3" t="s">
        <v>128</v>
      </c>
      <c r="B243" s="5">
        <v>40276</v>
      </c>
      <c r="C243" s="4" t="s">
        <v>663</v>
      </c>
      <c r="D243" s="3" t="str">
        <f>HYPERLINK("http://www.monitor.co.ug/Magazines/Farming/-/689860/970138/-/xees2u/-/index.html")</f>
        <v>http://www.monitor.co.ug/Magazines/Farming/-/689860/970138/-/xees2u/-/index.html</v>
      </c>
    </row>
    <row r="244" spans="1:4" ht="15">
      <c r="A244" s="3" t="s">
        <v>128</v>
      </c>
      <c r="B244" s="5">
        <v>40278</v>
      </c>
      <c r="C244" s="4" t="s">
        <v>602</v>
      </c>
      <c r="D244" s="3" t="str">
        <f>HYPERLINK("http://www.newvision.co.ug/news/609776-bududa-survivors-sue-over-relocation.html")</f>
        <v>http://www.newvision.co.ug/news/609776-bududa-survivors-sue-over-relocation.html</v>
      </c>
    </row>
    <row r="245" spans="1:4" ht="15">
      <c r="A245" s="3" t="s">
        <v>128</v>
      </c>
      <c r="B245" s="5">
        <v>40278</v>
      </c>
      <c r="C245" s="4" t="s">
        <v>128</v>
      </c>
      <c r="D245" s="3" t="str">
        <f>HYPERLINK("http://www.monitor.co.ug/artsculture/Reviews/-/691232/1025100/-/1cfq7rz/-/index.html")</f>
        <v>http://www.monitor.co.ug/artsculture/Reviews/-/691232/1025100/-/1cfq7rz/-/index.html</v>
      </c>
    </row>
    <row r="246" spans="1:4" ht="15">
      <c r="A246" s="3" t="s">
        <v>128</v>
      </c>
      <c r="B246" s="5">
        <v>40278</v>
      </c>
      <c r="C246" s="4" t="s">
        <v>128</v>
      </c>
      <c r="D246" s="3" t="str">
        <f>HYPERLINK("http://www.monitor.co.ug/OpEd/Letters/-/806314/1025390/-/yp7e46/-/index.html")</f>
        <v>http://www.monitor.co.ug/OpEd/Letters/-/806314/1025390/-/yp7e46/-/index.html</v>
      </c>
    </row>
    <row r="247" spans="1:4" ht="15">
      <c r="A247" s="3" t="s">
        <v>128</v>
      </c>
      <c r="B247" s="5">
        <v>40278</v>
      </c>
      <c r="C247" s="4" t="s">
        <v>563</v>
      </c>
      <c r="D247" s="3" t="str">
        <f>HYPERLINK("http://www.monitor.co.ug/News/National/-/688334/1025444/-/cn1ag4z/-/index.html")</f>
        <v>http://www.monitor.co.ug/News/National/-/688334/1025444/-/cn1ag4z/-/index.html</v>
      </c>
    </row>
    <row r="248" spans="1:4" ht="15">
      <c r="A248" s="3" t="s">
        <v>128</v>
      </c>
      <c r="B248" s="5">
        <v>40301</v>
      </c>
      <c r="C248" s="4" t="s">
        <v>603</v>
      </c>
      <c r="D248" s="3" t="str">
        <f>HYPERLINK("http://www.monitor.co.ug/News/National/-/688334/873442/-/wj62bc/-/index.html")</f>
        <v>http://www.monitor.co.ug/News/National/-/688334/873442/-/wj62bc/-/index.html</v>
      </c>
    </row>
    <row r="249" spans="1:4" ht="15">
      <c r="A249" s="3" t="s">
        <v>128</v>
      </c>
      <c r="B249" s="5">
        <v>40301</v>
      </c>
      <c r="C249" s="4" t="s">
        <v>603</v>
      </c>
      <c r="D249" s="3" t="str">
        <f>HYPERLINK("http://www.monitor.co.ug/Sports/Soccer/-/690266/873316/-/1578j95z/-/index.html")</f>
        <v>http://www.monitor.co.ug/Sports/Soccer/-/690266/873316/-/1578j95z/-/index.html</v>
      </c>
    </row>
    <row r="250" spans="1:4" ht="15">
      <c r="A250" s="3" t="s">
        <v>128</v>
      </c>
      <c r="B250" s="5">
        <v>40301</v>
      </c>
      <c r="C250" s="4" t="s">
        <v>608</v>
      </c>
      <c r="D250" s="3" t="str">
        <f>HYPERLINK("http://www.monitor.co.ug/News/National/-/688334/873450/-/wj62c6/-/index.html")</f>
        <v>http://www.monitor.co.ug/News/National/-/688334/873450/-/wj62c6/-/index.html</v>
      </c>
    </row>
    <row r="251" spans="1:4" ht="15">
      <c r="A251" s="3" t="s">
        <v>128</v>
      </c>
      <c r="B251" s="5">
        <v>40305</v>
      </c>
      <c r="C251" s="4" t="s">
        <v>630</v>
      </c>
      <c r="D251" s="3" t="str">
        <f>HYPERLINK("http://www.monitor.co.ug/News/National/-/688334/952336/-/x20052/-/index.html")</f>
        <v>http://www.monitor.co.ug/News/National/-/688334/952336/-/x20052/-/index.html</v>
      </c>
    </row>
    <row r="252" spans="1:4" ht="15">
      <c r="A252" s="3" t="s">
        <v>128</v>
      </c>
      <c r="B252" s="5">
        <v>40309</v>
      </c>
      <c r="C252" s="4" t="s">
        <v>128</v>
      </c>
      <c r="D252" s="3" t="str">
        <f>HYPERLINK("http://www.monitor.co.ug/SpecialReports/Elections/-/859108/1047496/-/jkvjjf/-/index.html")</f>
        <v>http://www.monitor.co.ug/SpecialReports/Elections/-/859108/1047496/-/jkvjjf/-/index.html</v>
      </c>
    </row>
    <row r="253" spans="1:4" ht="15">
      <c r="A253" s="3" t="s">
        <v>128</v>
      </c>
      <c r="B253" s="5">
        <v>40309</v>
      </c>
      <c r="C253" s="4" t="s">
        <v>128</v>
      </c>
      <c r="D253" s="3" t="str">
        <f>HYPERLINK("http://www.monitor.co.ug/OpEd/Letters/-/806314/1047314/-/yqguc6/-/index.html")</f>
        <v>http://www.monitor.co.ug/OpEd/Letters/-/806314/1047314/-/yqguc6/-/index.html</v>
      </c>
    </row>
    <row r="254" spans="1:4" ht="15">
      <c r="A254" s="3" t="s">
        <v>128</v>
      </c>
      <c r="B254" s="5">
        <v>40309</v>
      </c>
      <c r="C254" s="4" t="s">
        <v>128</v>
      </c>
      <c r="D254" s="3" t="str">
        <f>HYPERLINK("http://www.monitor.co.ug/News/National/-/688334/1047364/-/clqtqtz/-/index.html")</f>
        <v>http://www.monitor.co.ug/News/National/-/688334/1047364/-/clqtqtz/-/index.html</v>
      </c>
    </row>
    <row r="255" spans="1:4" ht="15">
      <c r="A255" s="3" t="s">
        <v>128</v>
      </c>
      <c r="B255" s="5">
        <v>40309</v>
      </c>
      <c r="C255" s="4" t="s">
        <v>666</v>
      </c>
      <c r="D255" s="3" t="str">
        <f>HYPERLINK("http://www.monitor.co.ug/SpecialReports/Elections/-/859108/1047438/-/jkvje6/-/index.html")</f>
        <v>http://www.monitor.co.ug/SpecialReports/Elections/-/859108/1047438/-/jkvje6/-/index.html</v>
      </c>
    </row>
    <row r="256" spans="1:4" ht="15">
      <c r="A256" s="3" t="s">
        <v>128</v>
      </c>
      <c r="B256" s="5">
        <v>40330</v>
      </c>
      <c r="C256" s="4" t="s">
        <v>128</v>
      </c>
      <c r="D256" s="3" t="str">
        <f>HYPERLINK("http://www.monitor.co.ug/News/National/-/688334/836526/-/wgr0fe/-/index.html")</f>
        <v>http://www.monitor.co.ug/News/National/-/688334/836526/-/wgr0fe/-/index.html</v>
      </c>
    </row>
    <row r="257" spans="1:4" ht="15">
      <c r="A257" s="3" t="s">
        <v>128</v>
      </c>
      <c r="B257" s="5">
        <v>40332</v>
      </c>
      <c r="C257" s="4" t="s">
        <v>603</v>
      </c>
      <c r="D257" s="3" t="str">
        <f>HYPERLINK("http://www.monitor.co.ug/OpEd/Commentary/-/689364/873954/-/ahn9p0z/-/index.html")</f>
        <v>http://www.monitor.co.ug/OpEd/Commentary/-/689364/873954/-/ahn9p0z/-/index.html</v>
      </c>
    </row>
    <row r="258" spans="1:4" ht="15">
      <c r="A258" s="3" t="s">
        <v>128</v>
      </c>
      <c r="B258" s="5">
        <v>40332</v>
      </c>
      <c r="C258" s="4" t="s">
        <v>551</v>
      </c>
      <c r="D258" s="3" t="str">
        <f>HYPERLINK("http://www.monitor.co.ug/News/National/-/688334/873814/-/wj65dk/-/index.html")</f>
        <v>http://www.monitor.co.ug/News/National/-/688334/873814/-/wj65dk/-/index.html</v>
      </c>
    </row>
    <row r="259" spans="1:4" ht="15">
      <c r="A259" s="3" t="s">
        <v>128</v>
      </c>
      <c r="B259" s="5">
        <v>40333</v>
      </c>
      <c r="C259" s="4" t="s">
        <v>582</v>
      </c>
      <c r="D259" s="3" t="str">
        <f>HYPERLINK("http://www.monitor.co.ug/Business/Prosper/-/688616/893144/-/jfj6t2z/-/index.html")</f>
        <v>http://www.monitor.co.ug/Business/Prosper/-/688616/893144/-/jfj6t2z/-/index.html</v>
      </c>
    </row>
    <row r="260" spans="1:4" ht="15">
      <c r="A260" s="3" t="s">
        <v>128</v>
      </c>
      <c r="B260" s="5">
        <v>40363</v>
      </c>
      <c r="C260" s="4" t="s">
        <v>493</v>
      </c>
      <c r="D260" s="3" t="str">
        <f>HYPERLINK("http://www.monitor.co.ug/SpecialReports/-/688342/894134/-/fhjx15/-/index.html")</f>
        <v>http://www.monitor.co.ug/SpecialReports/-/688342/894134/-/fhjx15/-/index.html</v>
      </c>
    </row>
    <row r="261" spans="1:4" ht="15">
      <c r="A261" s="3" t="s">
        <v>128</v>
      </c>
      <c r="B261" s="5">
        <v>40366</v>
      </c>
      <c r="C261" s="4" t="s">
        <v>662</v>
      </c>
      <c r="D261" s="3" t="str">
        <f>HYPERLINK("http://www.newvision.co.ug/news/615664-will-mother-nature-survive-ugandaÃ¢-s-population-pressure.html")</f>
        <v>http://www.newvision.co.ug/news/615664-will-mother-nature-survive-ugandaÃ¢-s-population-pressure.html</v>
      </c>
    </row>
    <row r="262" spans="1:4" ht="15">
      <c r="A262" s="3" t="s">
        <v>128</v>
      </c>
      <c r="B262" s="5">
        <v>40393</v>
      </c>
      <c r="C262" s="4" t="s">
        <v>563</v>
      </c>
      <c r="D262" s="3" t="str">
        <f>HYPERLINK("http://www.monitor.co.ug/News/National/-/688334/875148/-/wj7dlh/-/index.html")</f>
        <v>http://www.monitor.co.ug/News/National/-/688334/875148/-/wj7dlh/-/index.html</v>
      </c>
    </row>
    <row r="263" spans="1:4" ht="15">
      <c r="A263" s="3" t="s">
        <v>128</v>
      </c>
      <c r="B263" s="5">
        <v>40396</v>
      </c>
      <c r="C263" s="4" t="s">
        <v>661</v>
      </c>
      <c r="D263" s="3" t="str">
        <f>HYPERLINK("http://www.newvision.co.ug/news/617604-lands-told-to-cancel-leases-in-wetland.html")</f>
        <v>http://www.newvision.co.ug/news/617604-lands-told-to-cancel-leases-in-wetland.html</v>
      </c>
    </row>
    <row r="264" spans="1:4" ht="15">
      <c r="A264" s="3" t="s">
        <v>128</v>
      </c>
      <c r="B264" s="5">
        <v>40399</v>
      </c>
      <c r="C264" s="4" t="s">
        <v>603</v>
      </c>
      <c r="D264" s="3" t="str">
        <f>HYPERLINK("http://www.monitor.co.ug/Business/-/688322/1005778/-/37vbf6/-/index.html")</f>
        <v>http://www.monitor.co.ug/Business/-/688322/1005778/-/37vbf6/-/index.html</v>
      </c>
    </row>
    <row r="265" spans="1:4" ht="15">
      <c r="A265" s="3" t="s">
        <v>128</v>
      </c>
      <c r="B265" s="5">
        <v>40402</v>
      </c>
      <c r="C265" s="4" t="s">
        <v>667</v>
      </c>
      <c r="D265" s="3" t="str">
        <f>HYPERLINK("http://www.monitor.co.ug/News/National/-/688334/1068274/-/cki3elz/-/index.html")</f>
        <v>http://www.monitor.co.ug/News/National/-/688334/1068274/-/cki3elz/-/index.html</v>
      </c>
    </row>
    <row r="266" spans="1:4" ht="15">
      <c r="A266" s="3" t="s">
        <v>128</v>
      </c>
      <c r="B266" s="5">
        <v>40424</v>
      </c>
      <c r="C266" s="4" t="s">
        <v>603</v>
      </c>
      <c r="D266" s="3" t="str">
        <f>HYPERLINK("http://www.monitor.co.ug/Business/Prosper/-/688616/875258/-/jgpu5vz/-/index.html")</f>
        <v>http://www.monitor.co.ug/Business/Prosper/-/688616/875258/-/jgpu5vz/-/index.html</v>
      </c>
    </row>
    <row r="267" spans="1:4" ht="15">
      <c r="A267" s="3" t="s">
        <v>128</v>
      </c>
      <c r="B267" s="5">
        <v>40424</v>
      </c>
      <c r="C267" s="4" t="s">
        <v>567</v>
      </c>
      <c r="D267" s="3" t="str">
        <f>HYPERLINK("http://www.monitor.co.ug/News/National/-/688334/875758/-/wj7ic4/-/index.html")</f>
        <v>http://www.monitor.co.ug/News/National/-/688334/875758/-/wj7ic4/-/index.html</v>
      </c>
    </row>
    <row r="268" spans="1:4" ht="15">
      <c r="A268" s="3" t="s">
        <v>128</v>
      </c>
      <c r="B268" s="5">
        <v>40424</v>
      </c>
      <c r="C268" s="4" t="s">
        <v>563</v>
      </c>
      <c r="D268" s="3" t="str">
        <f>HYPERLINK("http://www.monitor.co.ug/News/National/-/688334/875774/-/wj7idr/-/index.html")</f>
        <v>http://www.monitor.co.ug/News/National/-/688334/875774/-/wj7idr/-/index.html</v>
      </c>
    </row>
    <row r="269" spans="1:4" ht="15">
      <c r="A269" s="3" t="s">
        <v>128</v>
      </c>
      <c r="B269" s="5">
        <v>40425</v>
      </c>
      <c r="C269" s="4" t="s">
        <v>603</v>
      </c>
      <c r="D269" s="3" t="str">
        <f>HYPERLINK("http://www.monitor.co.ug/News/National/-/688334/895722/-/wkfl1w/-/index.html")</f>
        <v>http://www.monitor.co.ug/News/National/-/688334/895722/-/wkfl1w/-/index.html</v>
      </c>
    </row>
    <row r="270" spans="1:4" ht="15">
      <c r="A270" s="3" t="s">
        <v>128</v>
      </c>
      <c r="B270" s="5">
        <v>40454</v>
      </c>
      <c r="C270" s="4" t="s">
        <v>603</v>
      </c>
      <c r="D270" s="3" t="str">
        <f>HYPERLINK("http://www.monitor.co.ug/OpEd/Commentary/-/689364/876042/-/ahldtjz/-/index.html")</f>
        <v>http://www.monitor.co.ug/OpEd/Commentary/-/689364/876042/-/ahldtjz/-/index.html</v>
      </c>
    </row>
    <row r="271" spans="1:4" ht="15">
      <c r="A271" s="3" t="s">
        <v>128</v>
      </c>
      <c r="B271" s="5">
        <v>40454</v>
      </c>
      <c r="C271" s="4" t="s">
        <v>128</v>
      </c>
      <c r="D271" s="3" t="str">
        <f>HYPERLINK("http://www.monitor.co.ug/Magazines/Farming/-/689860/875934/-/wufp7i/-/index.html")</f>
        <v>http://www.monitor.co.ug/Magazines/Farming/-/689860/875934/-/wufp7i/-/index.html</v>
      </c>
    </row>
    <row r="272" spans="1:4" ht="15">
      <c r="A272" s="3" t="s">
        <v>128</v>
      </c>
      <c r="B272" s="5">
        <v>40454</v>
      </c>
      <c r="C272" s="4" t="s">
        <v>569</v>
      </c>
      <c r="D272" s="3" t="str">
        <f>HYPERLINK("http://www.monitor.co.ug/Magazines/Farming/-/689860/875928/-/wufp6q/-/index.html")</f>
        <v>http://www.monitor.co.ug/Magazines/Farming/-/689860/875928/-/wufp6q/-/index.html</v>
      </c>
    </row>
    <row r="273" spans="1:4" ht="15">
      <c r="A273" s="3" t="s">
        <v>128</v>
      </c>
      <c r="B273" s="5">
        <v>40456</v>
      </c>
      <c r="C273" s="4" t="s">
        <v>647</v>
      </c>
      <c r="D273" s="3" t="str">
        <f>HYPERLINK("http://www.monitor.co.ug/News/National/-/688334/915286/-/wykvua/-/index.html")</f>
        <v>http://www.monitor.co.ug/News/National/-/688334/915286/-/wykvua/-/index.html</v>
      </c>
    </row>
    <row r="274" spans="1:4" ht="15">
      <c r="A274" s="3" t="s">
        <v>128</v>
      </c>
      <c r="B274" s="5">
        <v>40459</v>
      </c>
      <c r="C274" s="4" t="s">
        <v>628</v>
      </c>
      <c r="D274" s="3" t="str">
        <f>HYPERLINK("http://www.monitor.co.ug/Business/Prosper/-/688616/973536/-/iwofqxz/-/index.html")</f>
        <v>http://www.monitor.co.ug/Business/Prosper/-/688616/973536/-/iwofqxz/-/index.html</v>
      </c>
    </row>
    <row r="275" spans="1:4" ht="15">
      <c r="A275" s="3" t="s">
        <v>128</v>
      </c>
      <c r="B275" s="5">
        <v>40485</v>
      </c>
      <c r="C275" s="4" t="s">
        <v>603</v>
      </c>
      <c r="D275" s="3" t="str">
        <f>HYPERLINK("http://www.monitor.co.ug/News/National/-/688334/877000/-/wj8qcl/-/index.html")</f>
        <v>http://www.monitor.co.ug/News/National/-/688334/877000/-/wj8qcl/-/index.html</v>
      </c>
    </row>
    <row r="276" spans="1:4" ht="15">
      <c r="A276" s="3" t="s">
        <v>128</v>
      </c>
      <c r="B276" s="5">
        <v>40485</v>
      </c>
      <c r="C276" s="4" t="s">
        <v>603</v>
      </c>
      <c r="D276" s="3" t="str">
        <f>HYPERLINK("http://www.monitor.co.ug/News/National/-/688334/877078/-/wj8qj1/-/index.html")</f>
        <v>http://www.monitor.co.ug/News/National/-/688334/877078/-/wj8qj1/-/index.html</v>
      </c>
    </row>
    <row r="277" spans="1:4" ht="15">
      <c r="A277" s="3" t="s">
        <v>128</v>
      </c>
      <c r="B277" s="5">
        <v>40485</v>
      </c>
      <c r="C277" s="4" t="s">
        <v>128</v>
      </c>
      <c r="D277" s="3" t="str">
        <f>HYPERLINK("http://www.monitor.co.ug/OpEd/OpEdColumnists/KaroliSsemogerere/-/878682/876882/-/bnqsu8/-/index.html")</f>
        <v>http://www.monitor.co.ug/OpEd/OpEdColumnists/KaroliSsemogerere/-/878682/876882/-/bnqsu8/-/index.html</v>
      </c>
    </row>
    <row r="278" spans="1:4" ht="15">
      <c r="A278" s="3" t="s">
        <v>128</v>
      </c>
      <c r="B278" s="5">
        <v>40485</v>
      </c>
      <c r="C278" s="4" t="s">
        <v>563</v>
      </c>
      <c r="D278" s="3" t="str">
        <f>HYPERLINK("http://www.monitor.co.ug/News/National/-/688334/876940/-/wj8973/-/index.html")</f>
        <v>http://www.monitor.co.ug/News/National/-/688334/876940/-/wj8973/-/index.html</v>
      </c>
    </row>
    <row r="279" spans="1:4" ht="15">
      <c r="A279" s="3" t="s">
        <v>128</v>
      </c>
      <c r="B279" s="5">
        <v>40515</v>
      </c>
      <c r="C279" s="4" t="s">
        <v>603</v>
      </c>
      <c r="D279" s="3" t="str">
        <f>HYPERLINK("http://www.monitor.co.ug/News/National/-/688334/877750/-/wj8vy8/-/index.html")</f>
        <v>http://www.monitor.co.ug/News/National/-/688334/877750/-/wj8vy8/-/index.html</v>
      </c>
    </row>
    <row r="280" spans="1:4" ht="15">
      <c r="A280" s="3" t="s">
        <v>128</v>
      </c>
      <c r="B280" s="5">
        <v>40546</v>
      </c>
      <c r="C280" s="4" t="s">
        <v>672</v>
      </c>
      <c r="D280" s="3" t="str">
        <f>HYPERLINK("http://www.monitor.co.ug/News/National/-/688334/1116712/-/c4jc0uz/-/index.html")</f>
        <v>http://www.monitor.co.ug/News/National/-/688334/1116712/-/c4jc0uz/-/index.html</v>
      </c>
    </row>
    <row r="281" spans="1:4" ht="15">
      <c r="A281" s="3" t="s">
        <v>128</v>
      </c>
      <c r="B281" s="5">
        <v>40551</v>
      </c>
      <c r="C281" s="4" t="s">
        <v>651</v>
      </c>
      <c r="D281" s="3" t="str">
        <f>HYPERLINK("http://www.monitor.co.ug/OpEd/Letters/-/806314/1210928/-/10rmym9/-/index.html")</f>
        <v>http://www.monitor.co.ug/OpEd/Letters/-/806314/1210928/-/10rmym9/-/index.html</v>
      </c>
    </row>
    <row r="282" spans="1:4" ht="15">
      <c r="A282" s="3" t="s">
        <v>128</v>
      </c>
      <c r="B282" s="5">
        <v>40581</v>
      </c>
      <c r="C282" s="4" t="s">
        <v>682</v>
      </c>
      <c r="D282" s="3" t="str">
        <f>HYPERLINK("http://www.monitor.co.ug/OpEd/Letters/-/806314/1192846/-/10diwxm/-/index.html")</f>
        <v>http://www.monitor.co.ug/OpEd/Letters/-/806314/1192846/-/10diwxm/-/index.html</v>
      </c>
    </row>
    <row r="283" spans="1:4" ht="15">
      <c r="A283" s="3" t="s">
        <v>128</v>
      </c>
      <c r="B283" s="5">
        <v>40603</v>
      </c>
      <c r="C283" s="4" t="s">
        <v>128</v>
      </c>
      <c r="D283" s="3" t="str">
        <f>HYPERLINK("http://www.monitor.co.ug/News/National/-/688334/1082752/-/cje2njz/-/index.html")</f>
        <v>http://www.monitor.co.ug/News/National/-/688334/1082752/-/cje2njz/-/index.html</v>
      </c>
    </row>
    <row r="284" spans="1:4" ht="15">
      <c r="A284" s="3" t="s">
        <v>128</v>
      </c>
      <c r="B284" s="5">
        <v>40603</v>
      </c>
      <c r="C284" s="4" t="s">
        <v>657</v>
      </c>
      <c r="D284" s="3" t="str">
        <f>HYPERLINK("http://www.monitor.co.ug/News/National/-/688334/1082766/-/cje2mjz/-/index.html")</f>
        <v>http://www.monitor.co.ug/News/National/-/688334/1082766/-/cje2mjz/-/index.html</v>
      </c>
    </row>
    <row r="285" spans="1:4" ht="15">
      <c r="A285" s="3" t="s">
        <v>128</v>
      </c>
      <c r="B285" s="5">
        <v>40609</v>
      </c>
      <c r="C285" s="4" t="s">
        <v>128</v>
      </c>
      <c r="D285" s="3" t="str">
        <f>HYPERLINK("http://www.monitor.co.ug/Magazines/PeoplePower/-/689844/1193038/-/14d9sy9z/-/index.html")</f>
        <v>http://www.monitor.co.ug/Magazines/PeoplePower/-/689844/1193038/-/14d9sy9z/-/index.html</v>
      </c>
    </row>
    <row r="286" spans="1:4" ht="15">
      <c r="A286" s="3" t="s">
        <v>128</v>
      </c>
      <c r="B286" s="5">
        <v>40611</v>
      </c>
      <c r="C286" s="4" t="s">
        <v>128</v>
      </c>
      <c r="D286" s="3" t="str">
        <f>HYPERLINK("http://www.monitor.co.ug/Magazines/PeoplePower/-/689844/1230042/-/13wxej7z/-/index.html")</f>
        <v>http://www.monitor.co.ug/Magazines/PeoplePower/-/689844/1230042/-/13wxej7z/-/index.html</v>
      </c>
    </row>
    <row r="287" spans="1:4" ht="15">
      <c r="A287" s="3" t="s">
        <v>128</v>
      </c>
      <c r="B287" s="5">
        <v>40612</v>
      </c>
      <c r="C287" s="4" t="s">
        <v>128</v>
      </c>
      <c r="D287" s="3" t="str">
        <f>HYPERLINK("http://www.monitor.co.ug/OpEd/Commentary/-/689364/1247156/-/12qrxgrz/-/index.html")</f>
        <v>http://www.monitor.co.ug/OpEd/Commentary/-/689364/1247156/-/12qrxgrz/-/index.html</v>
      </c>
    </row>
    <row r="288" spans="1:4" ht="15">
      <c r="A288" s="3" t="s">
        <v>128</v>
      </c>
      <c r="B288" s="5">
        <v>40635</v>
      </c>
      <c r="C288" s="4" t="s">
        <v>128</v>
      </c>
      <c r="D288" s="3" t="str">
        <f>HYPERLINK("http://www.monitor.co.ug/News/National/-/688334/1101366/-/c59fibz/-/index.html")</f>
        <v>http://www.monitor.co.ug/News/National/-/688334/1101366/-/c59fibz/-/index.html</v>
      </c>
    </row>
    <row r="289" spans="1:4" ht="15">
      <c r="A289" s="3" t="s">
        <v>128</v>
      </c>
      <c r="B289" s="5">
        <v>40636</v>
      </c>
      <c r="C289" s="4" t="s">
        <v>128</v>
      </c>
      <c r="D289" s="3" t="str">
        <f>HYPERLINK("http://www.monitor.co.ug/OpEd/Letters/-/806314/1118898/-/108prtm/-/index.html")</f>
        <v>http://www.monitor.co.ug/OpEd/Letters/-/806314/1118898/-/108prtm/-/index.html</v>
      </c>
    </row>
    <row r="290" spans="1:4" ht="15">
      <c r="A290" s="3" t="s">
        <v>128</v>
      </c>
      <c r="B290" s="5">
        <v>40637</v>
      </c>
      <c r="C290" s="4" t="s">
        <v>584</v>
      </c>
      <c r="D290" s="3" t="str">
        <f>HYPERLINK("http://www.monitor.co.ug/News/Education/-/688336/1138176/-/ehig59/-/index.html")</f>
        <v>http://www.monitor.co.ug/News/Education/-/688336/1138176/-/ehig59/-/index.html</v>
      </c>
    </row>
    <row r="291" spans="1:4" ht="15">
      <c r="A291" s="3" t="s">
        <v>128</v>
      </c>
      <c r="B291" s="5">
        <v>40644</v>
      </c>
      <c r="C291" s="4" t="s">
        <v>686</v>
      </c>
      <c r="D291" s="3" t="str">
        <f>HYPERLINK("http://www.newvision.co.ug/news/18911-floods-paralyse-kampala-traffic.html")</f>
        <v>http://www.newvision.co.ug/news/18911-floods-paralyse-kampala-traffic.html</v>
      </c>
    </row>
    <row r="292" spans="1:4" ht="15">
      <c r="A292" s="3" t="s">
        <v>128</v>
      </c>
      <c r="B292" s="5">
        <v>40666</v>
      </c>
      <c r="C292" s="4" t="s">
        <v>673</v>
      </c>
      <c r="D292" s="3" t="str">
        <f>HYPERLINK("http://www.monitor.co.ug/News/National/-/688334/1119098/-/c4hecaz/-/index.html")</f>
        <v>http://www.monitor.co.ug/News/National/-/688334/1119098/-/c4hecaz/-/index.html</v>
      </c>
    </row>
    <row r="293" spans="1:4" ht="15">
      <c r="A293" s="3" t="s">
        <v>128</v>
      </c>
      <c r="B293" s="5">
        <v>40670</v>
      </c>
      <c r="C293" s="4" t="s">
        <v>550</v>
      </c>
      <c r="D293" s="3" t="str">
        <f>HYPERLINK("http://www.monitor.co.ug/OpEd/Commentary/-/689364/1194364/-/137u13pz/-/index.html")</f>
        <v>http://www.monitor.co.ug/OpEd/Commentary/-/689364/1194364/-/137u13pz/-/index.html</v>
      </c>
    </row>
    <row r="294" spans="1:4" ht="15">
      <c r="A294" s="3" t="s">
        <v>128</v>
      </c>
      <c r="B294" s="5">
        <v>40670</v>
      </c>
      <c r="C294" s="4" t="s">
        <v>505</v>
      </c>
      <c r="D294" s="3" t="str">
        <f>HYPERLINK("http://www.monitor.co.ug/News/National/-/688334/1195204/-/bymt4mz/-/index.html")</f>
        <v>http://www.monitor.co.ug/News/National/-/688334/1195204/-/bymt4mz/-/index.html</v>
      </c>
    </row>
    <row r="295" spans="1:4" ht="15">
      <c r="A295" s="3" t="s">
        <v>128</v>
      </c>
      <c r="B295" s="5">
        <v>40675</v>
      </c>
      <c r="C295" s="4" t="s">
        <v>128</v>
      </c>
      <c r="D295" s="3" t="str">
        <f>HYPERLINK("http://www.newvision.co.ug/news/314652-floods-destroy-rice-gardens-in-butaleja.html")</f>
        <v>http://www.newvision.co.ug/news/314652-floods-destroy-rice-gardens-in-butaleja.html</v>
      </c>
    </row>
    <row r="296" spans="1:4" ht="15">
      <c r="A296" s="3" t="s">
        <v>128</v>
      </c>
      <c r="B296" s="5">
        <v>40696</v>
      </c>
      <c r="C296" s="4" t="s">
        <v>128</v>
      </c>
      <c r="D296" s="3" t="str">
        <f>HYPERLINK("http://www.monitor.co.ug/News/National/-/688334/1102062/-/c58sjmz/-/index.html")</f>
        <v>http://www.monitor.co.ug/News/National/-/688334/1102062/-/c58sjmz/-/index.html</v>
      </c>
    </row>
    <row r="297" spans="1:4" ht="15">
      <c r="A297" s="3" t="s">
        <v>128</v>
      </c>
      <c r="B297" s="5">
        <v>40697</v>
      </c>
      <c r="C297" s="4" t="s">
        <v>560</v>
      </c>
      <c r="D297" s="3" t="str">
        <f>HYPERLINK("http://www.newvision.co.ug/news/326855-factors-behind-nrmÃ¢-s-victory.html")</f>
        <v>http://www.newvision.co.ug/news/326855-factors-behind-nrmÃ¢-s-victory.html</v>
      </c>
    </row>
    <row r="298" spans="1:4" ht="15">
      <c r="A298" s="3" t="s">
        <v>128</v>
      </c>
      <c r="B298" s="5">
        <v>40697</v>
      </c>
      <c r="C298" s="4" t="s">
        <v>674</v>
      </c>
      <c r="D298" s="3" t="str">
        <f>HYPERLINK("http://www.monitor.co.ug/News/Insight/-/688338/1119480/-/r3de3a/-/index.html")</f>
        <v>http://www.monitor.co.ug/News/Insight/-/688338/1119480/-/r3de3a/-/index.html</v>
      </c>
    </row>
    <row r="299" spans="1:4" ht="15">
      <c r="A299" s="3" t="s">
        <v>128</v>
      </c>
      <c r="B299" s="5">
        <v>40699</v>
      </c>
      <c r="C299" s="4" t="s">
        <v>128</v>
      </c>
      <c r="D299" s="3" t="str">
        <f>HYPERLINK("http://www.newvision.co.ug/news/323276-flood-victims-receive-aid.html")</f>
        <v>http://www.newvision.co.ug/news/323276-flood-victims-receive-aid.html</v>
      </c>
    </row>
    <row r="300" spans="1:4" ht="15">
      <c r="A300" s="3" t="s">
        <v>128</v>
      </c>
      <c r="B300" s="5">
        <v>40702</v>
      </c>
      <c r="C300" s="4" t="s">
        <v>128</v>
      </c>
      <c r="D300" s="3" t="str">
        <f>HYPERLINK("http://www.monitor.co.ug/OpEd/Letters/-/806314/1213906/-/10rp2ix/-/index.html")</f>
        <v>http://www.monitor.co.ug/OpEd/Letters/-/806314/1213906/-/10rp2ix/-/index.html</v>
      </c>
    </row>
    <row r="301" spans="1:4" ht="15">
      <c r="A301" s="3" t="s">
        <v>128</v>
      </c>
      <c r="B301" s="5">
        <v>40730</v>
      </c>
      <c r="C301" s="4" t="s">
        <v>571</v>
      </c>
      <c r="D301" s="3" t="str">
        <f>HYPERLINK("http://www.monitor.co.ug/News/National/-/688334/1176454/-/c0u5vqz/-/index.html")</f>
        <v>http://www.monitor.co.ug/News/National/-/688334/1176454/-/c0u5vqz/-/index.html</v>
      </c>
    </row>
    <row r="302" spans="1:4" ht="15">
      <c r="A302" s="3" t="s">
        <v>128</v>
      </c>
      <c r="B302" s="5">
        <v>40733</v>
      </c>
      <c r="C302" s="4" t="s">
        <v>128</v>
      </c>
      <c r="D302" s="3" t="str">
        <f>HYPERLINK("http://www.newvision.co.ug/news/316371-floods-ravage-kampala-suburbs.html")</f>
        <v>http://www.newvision.co.ug/news/316371-floods-ravage-kampala-suburbs.html</v>
      </c>
    </row>
    <row r="303" spans="1:4" ht="15">
      <c r="A303" s="3" t="s">
        <v>128</v>
      </c>
      <c r="B303" s="5">
        <v>40733</v>
      </c>
      <c r="C303" s="4" t="s">
        <v>128</v>
      </c>
      <c r="D303" s="3" t="str">
        <f>HYPERLINK("http://www.newvision.co.ug/news/1606-floods-ravage-kampala-suburbs.html")</f>
        <v>http://www.newvision.co.ug/news/1606-floods-ravage-kampala-suburbs.html</v>
      </c>
    </row>
    <row r="304" spans="1:4" ht="15">
      <c r="A304" s="3" t="s">
        <v>128</v>
      </c>
      <c r="B304" s="5">
        <v>40756</v>
      </c>
      <c r="C304" s="4" t="s">
        <v>668</v>
      </c>
      <c r="D304" s="3" t="str">
        <f>HYPERLINK("http://www.monitor.co.ug/News/National/-/688334/1085608/-/cjc0lqz/-/index.html")</f>
        <v>http://www.monitor.co.ug/News/National/-/688334/1085608/-/cjc0lqz/-/index.html</v>
      </c>
    </row>
    <row r="305" spans="1:4" ht="15">
      <c r="A305" s="3" t="s">
        <v>128</v>
      </c>
      <c r="B305" s="5">
        <v>40764</v>
      </c>
      <c r="C305" s="4" t="s">
        <v>128</v>
      </c>
      <c r="D305" s="3" t="str">
        <f>HYPERLINK("http://www.monitor.co.ug/Business/Markets/-/688606/1232198/-/sl40yt/-/index.html")</f>
        <v>http://www.monitor.co.ug/Business/Markets/-/688606/1232198/-/sl40yt/-/index.html</v>
      </c>
    </row>
    <row r="306" spans="1:4" ht="15">
      <c r="A306" s="3" t="s">
        <v>128</v>
      </c>
      <c r="B306" s="5">
        <v>40826</v>
      </c>
      <c r="C306" s="4" t="s">
        <v>128</v>
      </c>
      <c r="D306" s="3" t="str">
        <f>HYPERLINK("http://www.monitor.co.ug/News/National/-/688334/1252916/-/bi36eiz/-/index.html")</f>
        <v>http://www.monitor.co.ug/News/National/-/688334/1252916/-/bi36eiz/-/index.html</v>
      </c>
    </row>
    <row r="307" spans="1:4" ht="15">
      <c r="A307" s="3" t="s">
        <v>128</v>
      </c>
      <c r="B307" s="5">
        <v>40852</v>
      </c>
      <c r="C307" s="4" t="s">
        <v>726</v>
      </c>
      <c r="D307" s="3" t="str">
        <f>HYPERLINK("http://www.monitor.co.ug/News/National/-/688334/1160034/-/c1kxvoz/-/index.html")</f>
        <v>http://www.monitor.co.ug/News/National/-/688334/1160034/-/c1kxvoz/-/index.html</v>
      </c>
    </row>
    <row r="308" spans="1:4" ht="15">
      <c r="A308" s="3" t="s">
        <v>128</v>
      </c>
      <c r="B308" s="5">
        <v>40852</v>
      </c>
      <c r="C308" s="4" t="s">
        <v>128</v>
      </c>
      <c r="D308" s="3" t="str">
        <f>HYPERLINK("http://www.newvision.co.ug/news/323037-bwaise-floods-displace-700-people.html")</f>
        <v>http://www.newvision.co.ug/news/323037-bwaise-floods-displace-700-people.html</v>
      </c>
    </row>
    <row r="309" spans="1:4" ht="15">
      <c r="A309" s="3" t="s">
        <v>128</v>
      </c>
      <c r="B309" s="5">
        <v>40856</v>
      </c>
      <c r="C309" s="4" t="s">
        <v>603</v>
      </c>
      <c r="D309" s="3" t="str">
        <f>HYPERLINK("http://www.monitor.co.ug/OpEd/Letters/-/806314/1233810/-/10sx4jt/-/index.html")</f>
        <v>http://www.monitor.co.ug/OpEd/Letters/-/806314/1233810/-/10sx4jt/-/index.html</v>
      </c>
    </row>
    <row r="310" spans="1:4" ht="15">
      <c r="A310" s="3" t="s">
        <v>128</v>
      </c>
      <c r="B310" s="5">
        <v>40879</v>
      </c>
      <c r="C310" s="4" t="s">
        <v>669</v>
      </c>
      <c r="D310" s="3" t="str">
        <f>HYPERLINK("http://www.monitor.co.ug/OpEd/OpEdColumnists/BernardTabaire/-/878688/1105862/-/mq47l3/-/index.html")</f>
        <v>http://www.monitor.co.ug/OpEd/OpEdColumnists/BernardTabaire/-/878688/1105862/-/mq47l3/-/index.html</v>
      </c>
    </row>
    <row r="311" spans="1:4" ht="15">
      <c r="A311" s="3" t="s">
        <v>128</v>
      </c>
      <c r="B311" s="5">
        <v>40886</v>
      </c>
      <c r="C311" s="4" t="s">
        <v>683</v>
      </c>
      <c r="D311" s="3" t="str">
        <f>HYPERLINK("http://www.monitor.co.ug/News/National/-/688334/1234716/-/bj9w4pz/-/index.html")</f>
        <v>http://www.monitor.co.ug/News/National/-/688334/1234716/-/bj9w4pz/-/index.html</v>
      </c>
    </row>
    <row r="312" spans="1:4" ht="15">
      <c r="A312" s="3" t="s">
        <v>128</v>
      </c>
      <c r="B312" s="5">
        <v>40917</v>
      </c>
      <c r="C312" s="4" t="s">
        <v>128</v>
      </c>
      <c r="D312" s="3" t="str">
        <f>HYPERLINK("http://www.monitor.co.ug/News/National/Fake-car-engine-oil-floods-the-market/-/688334/1491608/-/edn2tk/-/index.html")</f>
        <v>http://www.monitor.co.ug/News/National/Fake-car-engine-oil-floods-the-market/-/688334/1491608/-/edn2tk/-/index.html</v>
      </c>
    </row>
    <row r="313" spans="1:4" ht="15">
      <c r="A313" s="3" t="s">
        <v>128</v>
      </c>
      <c r="B313" s="5">
        <v>40917</v>
      </c>
      <c r="C313" s="4" t="s">
        <v>493</v>
      </c>
      <c r="D313" s="3" t="str">
        <f>HYPERLINK("http://www.monitor.co.ug/SpecialReports/Who-is-to-blame-for-continuous-environment-degradation-/-/688342/1491626/-/pq6t06z/-/index.html")</f>
        <v>http://www.monitor.co.ug/SpecialReports/Who-is-to-blame-for-continuous-environment-degradation-/-/688342/1491626/-/pq6t06z/-/index.html</v>
      </c>
    </row>
    <row r="314" spans="1:4" ht="15">
      <c r="A314" s="3" t="s">
        <v>128</v>
      </c>
      <c r="B314" s="5">
        <v>40941</v>
      </c>
      <c r="C314" s="4" t="s">
        <v>128</v>
      </c>
      <c r="D314" s="3" t="str">
        <f>HYPERLINK("http://www.newvision.co.ug/news/628744-kampala-upe-school-prone-to-floods-closed.html")</f>
        <v>http://www.newvision.co.ug/news/628744-kampala-upe-school-prone-to-floods-closed.html</v>
      </c>
    </row>
    <row r="315" spans="1:4" ht="15">
      <c r="A315" s="3" t="s">
        <v>128</v>
      </c>
      <c r="B315" s="5">
        <v>40941</v>
      </c>
      <c r="C315" s="4" t="s">
        <v>690</v>
      </c>
      <c r="D315" s="3" t="str">
        <f>HYPERLINK("http://www.monitor.co.ug/OpEd/OpEdColumnists/KaroliSsemogerere/-/878682/1318268/-/3sx927z/-/index.html")</f>
        <v>http://www.monitor.co.ug/OpEd/OpEdColumnists/KaroliSsemogerere/-/878682/1318268/-/3sx927z/-/index.html</v>
      </c>
    </row>
    <row r="316" spans="1:4" ht="15">
      <c r="A316" s="3" t="s">
        <v>128</v>
      </c>
      <c r="B316" s="5">
        <v>40942</v>
      </c>
      <c r="C316" s="4" t="s">
        <v>691</v>
      </c>
      <c r="D316" s="3" t="str">
        <f>HYPERLINK("http://www.newvision.co.ug/news/629349-kcca-starts-repairs-on-drainage-channels.html")</f>
        <v>http://www.newvision.co.ug/news/629349-kcca-starts-repairs-on-drainage-channels.html</v>
      </c>
    </row>
    <row r="317" spans="1:4" ht="15">
      <c r="A317" s="3" t="s">
        <v>128</v>
      </c>
      <c r="B317" s="5">
        <v>40946</v>
      </c>
      <c r="C317" s="4" t="s">
        <v>602</v>
      </c>
      <c r="D317" s="3" t="str">
        <f>HYPERLINK("http://www.monitor.co.ug/News/National/More-bodies-exhumed-in-Bududa/-/688334/1441442/-/hincas/-/index.html")</f>
        <v>http://www.monitor.co.ug/News/National/More-bodies-exhumed-in-Bududa/-/688334/1441442/-/hincas/-/index.html</v>
      </c>
    </row>
    <row r="318" spans="1:4" ht="15">
      <c r="A318" s="3" t="s">
        <v>128</v>
      </c>
      <c r="B318" s="5">
        <v>40946</v>
      </c>
      <c r="C318" s="4" t="s">
        <v>128</v>
      </c>
      <c r="D318" s="3" t="str">
        <f>HYPERLINK("http://www.monitor.co.ug/OpEd/Letters/Here-is-how-to-tackle-Kampala-floods/-/806314/1441390/-/wtew3az/-/index.html")</f>
        <v>http://www.monitor.co.ug/OpEd/Letters/Here-is-how-to-tackle-Kampala-floods/-/806314/1441390/-/wtew3az/-/index.html</v>
      </c>
    </row>
    <row r="319" spans="1:4" ht="15">
      <c r="A319" s="3" t="s">
        <v>128</v>
      </c>
      <c r="B319" s="5">
        <v>40947</v>
      </c>
      <c r="C319" s="4" t="s">
        <v>128</v>
      </c>
      <c r="D319" s="3" t="str">
        <f>HYPERLINK("http://www.monitor.co.ug/News/National/KCCA-to-repair-drainage-systems/-/688334/1468898/-/2du9qc/-/index.html")</f>
        <v>http://www.monitor.co.ug/News/National/KCCA-to-repair-drainage-systems/-/688334/1468898/-/2du9qc/-/index.html</v>
      </c>
    </row>
    <row r="320" spans="1:4" ht="15">
      <c r="A320" s="3" t="s">
        <v>128</v>
      </c>
      <c r="B320" s="5">
        <v>40948</v>
      </c>
      <c r="C320" s="4" t="s">
        <v>128</v>
      </c>
      <c r="D320" s="3" t="str">
        <f>HYPERLINK("http://www.monitor.co.ug/OpEd/Editorial/Time-to-take-back-our-green-spaces/-/689360/1492208/-/najtnpz/-/index.html")</f>
        <v>http://www.monitor.co.ug/OpEd/Editorial/Time-to-take-back-our-green-spaces/-/689360/1492208/-/najtnpz/-/index.html</v>
      </c>
    </row>
    <row r="321" spans="1:4" ht="15">
      <c r="A321" s="3" t="s">
        <v>128</v>
      </c>
      <c r="B321" s="5">
        <v>40949</v>
      </c>
      <c r="C321" s="4" t="s">
        <v>128</v>
      </c>
      <c r="D321" s="3" t="str">
        <f>HYPERLINK("http://www.monitor.co.ug/News/National/KCCA-seeks-court-guidance-on-Centenary-Park-injunction/-/688334/1522678/-/12byo6e/-/index.html")</f>
        <v>http://www.monitor.co.ug/News/National/KCCA-seeks-court-guidance-on-Centenary-Park-injunction/-/688334/1522678/-/12byo6e/-/index.html</v>
      </c>
    </row>
    <row r="322" spans="1:4" ht="15">
      <c r="A322" s="3" t="s">
        <v>128</v>
      </c>
      <c r="B322" s="5">
        <v>40969</v>
      </c>
      <c r="C322" s="4" t="s">
        <v>128</v>
      </c>
      <c r="D322" s="3" t="str">
        <f>HYPERLINK("http://www.monitor.co.ug/News/National/-/688334/1299412/-/bfh9igz/-/index.html")</f>
        <v>http://www.monitor.co.ug/News/National/-/688334/1299412/-/bfh9igz/-/index.html</v>
      </c>
    </row>
    <row r="323" spans="1:4" ht="15">
      <c r="A323" s="3" t="s">
        <v>128</v>
      </c>
      <c r="B323" s="5">
        <v>40975</v>
      </c>
      <c r="C323" s="4" t="s">
        <v>562</v>
      </c>
      <c r="D323" s="3" t="str">
        <f>HYPERLINK("http://www.monitor.co.ug/OpEd/OpEdColumnists/Davidsseppuuya/Nature-will-always-win-over-man-s-foolishness/-/1268850/1442342/-/mm71nj/-/index.html")</f>
        <v>http://www.monitor.co.ug/OpEd/OpEdColumnists/Davidsseppuuya/Nature-will-always-win-over-man-s-foolishness/-/1268850/1442342/-/mm71nj/-/index.html</v>
      </c>
    </row>
    <row r="324" spans="1:4" ht="15">
      <c r="A324" s="3" t="s">
        <v>128</v>
      </c>
      <c r="B324" s="5">
        <v>41002</v>
      </c>
      <c r="C324" s="4" t="s">
        <v>128</v>
      </c>
      <c r="D324" s="3" t="str">
        <f>HYPERLINK("http://www.monitor.co.ug/Magazines/PeoplePower/-/689844/1358418/-/13cgxe4z/-/index.html")</f>
        <v>http://www.monitor.co.ug/Magazines/PeoplePower/-/689844/1358418/-/13cgxe4z/-/index.html</v>
      </c>
    </row>
    <row r="325" spans="1:4" ht="15">
      <c r="A325" s="3" t="s">
        <v>128</v>
      </c>
      <c r="B325" s="5">
        <v>41006</v>
      </c>
      <c r="C325" s="4" t="s">
        <v>603</v>
      </c>
      <c r="D325" s="3" t="str">
        <f>HYPERLINK("http://www.monitor.co.ug/News/National/Nation-Media-Group-donates-to-landslide-victims/-/688334/1443760/-/7v3uy7z/-/index.html")</f>
        <v>http://www.monitor.co.ug/News/National/Nation-Media-Group-donates-to-landslide-victims/-/688334/1443760/-/7v3uy7z/-/index.html</v>
      </c>
    </row>
    <row r="326" spans="1:4" ht="15">
      <c r="A326" s="3" t="s">
        <v>128</v>
      </c>
      <c r="B326" s="5">
        <v>41006</v>
      </c>
      <c r="C326" s="4" t="s">
        <v>128</v>
      </c>
      <c r="D326" s="3" t="str">
        <f>HYPERLINK("http://www.monitor.co.ug/artsculture/Reviews/Where-is-your-meat-coming-from-/-/691232/1443712/-/8nsdd5z/-/index.html")</f>
        <v>http://www.monitor.co.ug/artsculture/Reviews/Where-is-your-meat-coming-from-/-/691232/1443712/-/8nsdd5z/-/index.html</v>
      </c>
    </row>
    <row r="327" spans="1:4" ht="15">
      <c r="A327" s="3" t="s">
        <v>128</v>
      </c>
      <c r="B327" s="5">
        <v>41034</v>
      </c>
      <c r="C327" s="4" t="s">
        <v>581</v>
      </c>
      <c r="D327" s="3" t="str">
        <f>HYPERLINK("http://www.monitor.co.ug/News/National/Uganda-s-best-and-worst-employers/-/688334/1399618/-/jv4g4ez/-/index.html")</f>
        <v>http://www.monitor.co.ug/News/National/Uganda-s-best-and-worst-employers/-/688334/1399618/-/jv4g4ez/-/index.html</v>
      </c>
    </row>
    <row r="328" spans="1:4" ht="15">
      <c r="A328" s="3" t="s">
        <v>128</v>
      </c>
      <c r="B328" s="5">
        <v>41066</v>
      </c>
      <c r="C328" s="4" t="s">
        <v>128</v>
      </c>
      <c r="D328" s="3" t="str">
        <f>HYPERLINK("http://www.monitor.co.ug/artsculture/Travel/Face-to-face-with-the-world-s-biggest-hydro-power-dam/-/691238/1421096/-/yq4as7z/-/index.html")</f>
        <v>http://www.monitor.co.ug/artsculture/Travel/Face-to-face-with-the-world-s-biggest-hydro-power-dam/-/691238/1421096/-/yq4as7z/-/index.html</v>
      </c>
    </row>
    <row r="329" spans="1:4" ht="15">
      <c r="A329" s="3" t="s">
        <v>128</v>
      </c>
      <c r="B329" s="5">
        <v>41067</v>
      </c>
      <c r="C329" s="4" t="s">
        <v>128</v>
      </c>
      <c r="D329" s="3" t="str">
        <f>HYPERLINK("http://www.monitor.co.ug/News/National/Northern-Bypass-now-a-haven-for-city-criminals/-/688334/1445758/-/5dmf4yz/-/index.html")</f>
        <v>http://www.monitor.co.ug/News/National/Northern-Bypass-now-a-haven-for-city-criminals/-/688334/1445758/-/5dmf4yz/-/index.html</v>
      </c>
    </row>
    <row r="330" spans="1:4" ht="15">
      <c r="A330" s="3" t="s">
        <v>128</v>
      </c>
      <c r="B330" s="5">
        <v>41067</v>
      </c>
      <c r="C330" s="4" t="s">
        <v>563</v>
      </c>
      <c r="D330" s="3" t="str">
        <f>HYPERLINK("http://www.monitor.co.ug/News/National/Landslide-victims-to-be-resettled-to-safer-areas/-/688334/1445768/-/ikvyh4/-/index.html")</f>
        <v>http://www.monitor.co.ug/News/National/Landslide-victims-to-be-resettled-to-safer-areas/-/688334/1445768/-/ikvyh4/-/index.html</v>
      </c>
    </row>
    <row r="331" spans="1:4" ht="15">
      <c r="A331" s="3" t="s">
        <v>128</v>
      </c>
      <c r="B331" s="5">
        <v>41069</v>
      </c>
      <c r="C331" s="4" t="s">
        <v>726</v>
      </c>
      <c r="D331" s="3" t="str">
        <f>HYPERLINK("http://www.newvision.co.ug/news/634959-move-some-ministries-out-of-kampala.html")</f>
        <v>http://www.newvision.co.ug/news/634959-move-some-ministries-out-of-kampala.html</v>
      </c>
    </row>
    <row r="332" spans="1:4" ht="15">
      <c r="A332" s="3" t="s">
        <v>128</v>
      </c>
      <c r="B332" s="5">
        <v>41070</v>
      </c>
      <c r="C332" s="4" t="s">
        <v>128</v>
      </c>
      <c r="D332" s="3" t="str">
        <f>HYPERLINK("http://www.monitor.co.ug/News/National/I-m-stressed-by-men-from-Parliament--says-Alengot/-/688334/1526168/-/efq15dz/-/index.html")</f>
        <v>http://www.monitor.co.ug/News/National/I-m-stressed-by-men-from-Parliament--says-Alengot/-/688334/1526168/-/efq15dz/-/index.html</v>
      </c>
    </row>
    <row r="333" spans="1:4" ht="15">
      <c r="A333" s="3" t="s">
        <v>128</v>
      </c>
      <c r="B333" s="5">
        <v>41126</v>
      </c>
      <c r="C333" s="4" t="s">
        <v>563</v>
      </c>
      <c r="D333" s="3" t="str">
        <f>HYPERLINK("http://www.monitor.co.ug/News/National/-/688334/1401524/-/ai16trz/-/index.html")</f>
        <v>http://www.monitor.co.ug/News/National/-/688334/1401524/-/ai16trz/-/index.html</v>
      </c>
    </row>
    <row r="334" spans="1:4" ht="15">
      <c r="A334" s="3" t="s">
        <v>128</v>
      </c>
      <c r="B334" s="5">
        <v>41128</v>
      </c>
      <c r="C334" s="4" t="s">
        <v>695</v>
      </c>
      <c r="D334" s="3" t="str">
        <f>HYPERLINK("http://www.monitor.co.ug/Magazines/PeoplePower/I-will-push-for-unity-at-KCCA--says-newly-sworn-in-Mayor/-/689844/1447464/-/b737t6z/-/index.html")</f>
        <v>http://www.monitor.co.ug/Magazines/PeoplePower/I-will-push-for-unity-at-KCCA--says-newly-sworn-in-Mayor/-/689844/1447464/-/b737t6z/-/index.html</v>
      </c>
    </row>
    <row r="335" spans="1:4" ht="15">
      <c r="A335" s="3" t="s">
        <v>128</v>
      </c>
      <c r="B335" s="5">
        <v>41131</v>
      </c>
      <c r="C335" s="4" t="s">
        <v>700</v>
      </c>
      <c r="D335" s="3" t="str">
        <f>HYPERLINK("http://www.monitor.co.ug/News/National/Police-cordons-off-Mayor-Lukwago-s-home/-/688334/1528240/-/4w5ok7z/-/index.html")</f>
        <v>http://www.monitor.co.ug/News/National/Police-cordons-off-Mayor-Lukwago-s-home/-/688334/1528240/-/4w5ok7z/-/index.html</v>
      </c>
    </row>
    <row r="336" spans="1:4" ht="15">
      <c r="A336" s="3" t="s">
        <v>128</v>
      </c>
      <c r="B336" s="5">
        <v>41153</v>
      </c>
      <c r="C336" s="4" t="s">
        <v>128</v>
      </c>
      <c r="D336" s="3" t="str">
        <f>HYPERLINK("http://www.monitor.co.ug/OpEd/Editorial/-/689360/1302236/-/aia7jj/-/index.html")</f>
        <v>http://www.monitor.co.ug/OpEd/Editorial/-/689360/1302236/-/aia7jj/-/index.html</v>
      </c>
    </row>
    <row r="337" spans="1:4" ht="15">
      <c r="A337" s="3" t="s">
        <v>128</v>
      </c>
      <c r="B337" s="5">
        <v>41156</v>
      </c>
      <c r="C337" s="4" t="s">
        <v>128</v>
      </c>
      <c r="D337" s="3" t="str">
        <f>HYPERLINK("http://www.monitor.co.ug/News/National/-/688334/1382806/-/aw5ts6z/-/index.html")</f>
        <v>http://www.monitor.co.ug/News/National/-/688334/1382806/-/aw5ts6z/-/index.html</v>
      </c>
    </row>
    <row r="338" spans="1:4" ht="15">
      <c r="A338" s="3" t="s">
        <v>128</v>
      </c>
      <c r="B338" s="5">
        <v>41156</v>
      </c>
      <c r="C338" s="4" t="s">
        <v>128</v>
      </c>
      <c r="D338" s="3" t="str">
        <f>HYPERLINK("http://www.monitor.co.ug/OpEd/Editorial/-/689360/1382504/-/an7kyp/-/index.html")</f>
        <v>http://www.monitor.co.ug/OpEd/Editorial/-/689360/1382504/-/an7kyp/-/index.html</v>
      </c>
    </row>
    <row r="339" spans="1:4" ht="15">
      <c r="A339" s="3" t="s">
        <v>128</v>
      </c>
      <c r="B339" s="5">
        <v>41161</v>
      </c>
      <c r="C339" s="4" t="s">
        <v>696</v>
      </c>
      <c r="D339" s="3" t="str">
        <f>HYPERLINK("http://www.monitor.co.ug/News/National/Three-years-later--Buganda-riots-victims-yet-to-be-compensated/-/688334/1500412/-/no26hfz/-/index.html")</f>
        <v>http://www.monitor.co.ug/News/National/Three-years-later--Buganda-riots-victims-yet-to-be-compensated/-/688334/1500412/-/no26hfz/-/index.html</v>
      </c>
    </row>
    <row r="340" spans="1:4" ht="15">
      <c r="A340" s="3" t="s">
        <v>128</v>
      </c>
      <c r="B340" s="5">
        <v>41162</v>
      </c>
      <c r="C340" s="4" t="s">
        <v>128</v>
      </c>
      <c r="D340" s="3" t="str">
        <f>HYPERLINK("http://www.monitor.co.ug/News/National/Red-Cross-to-manage-camp/-/688334/1528428/-/4oopjjz/-/index.html")</f>
        <v>http://www.monitor.co.ug/News/National/Red-Cross-to-manage-camp/-/688334/1528428/-/4oopjjz/-/index.html</v>
      </c>
    </row>
    <row r="341" spans="1:4" ht="15">
      <c r="A341" s="3" t="s">
        <v>128</v>
      </c>
      <c r="B341" s="5">
        <v>41189</v>
      </c>
      <c r="C341" s="4" t="s">
        <v>603</v>
      </c>
      <c r="D341" s="3" t="str">
        <f>HYPERLINK("http://www.newvision.co.ug/news/632843-govt-buys-oversized-doors-for-displaced-bududa-people.html")</f>
        <v>http://www.newvision.co.ug/news/632843-govt-buys-oversized-doors-for-displaced-bududa-people.html</v>
      </c>
    </row>
    <row r="342" spans="1:4" ht="15">
      <c r="A342" s="3" t="s">
        <v>128</v>
      </c>
      <c r="B342" s="5">
        <v>41217</v>
      </c>
      <c r="C342" s="4" t="s">
        <v>128</v>
      </c>
      <c r="D342" s="3" t="str">
        <f>HYPERLINK("http://www.monitor.co.ug/artsculture/Reviews/-/691232/1383958/-/dfh4b/-/index.html")</f>
        <v>http://www.monitor.co.ug/artsculture/Reviews/-/691232/1383958/-/dfh4b/-/index.html</v>
      </c>
    </row>
    <row r="343" spans="1:4" ht="15">
      <c r="A343" s="3" t="s">
        <v>128</v>
      </c>
      <c r="B343" s="5">
        <v>41218</v>
      </c>
      <c r="C343" s="4" t="s">
        <v>128</v>
      </c>
      <c r="D343" s="3" t="str">
        <f>HYPERLINK("http://www.monitor.co.ug/Magazines/Jobs-Career/Employ-locals-to-survive--says-Chinese-investor/-/689848/1403348/-/of92rm/-/index.html")</f>
        <v>http://www.monitor.co.ug/Magazines/Jobs-Career/Employ-locals-to-survive--says-Chinese-investor/-/689848/1403348/-/of92rm/-/index.html</v>
      </c>
    </row>
    <row r="344" spans="1:4" ht="15">
      <c r="A344" s="3" t="s">
        <v>128</v>
      </c>
      <c r="B344" s="5">
        <v>41218</v>
      </c>
      <c r="C344" s="4" t="s">
        <v>505</v>
      </c>
      <c r="D344" s="3" t="str">
        <f>HYPERLINK("http://www.monitor.co.ug/artsculture/Reviews/Nyabihoko--The-lake-with-an-intriguing-history/-/691232/1403308/-/n8wcbhz/-/index.html")</f>
        <v>http://www.monitor.co.ug/artsculture/Reviews/Nyabihoko--The-lake-with-an-intriguing-history/-/691232/1403308/-/n8wcbhz/-/index.html</v>
      </c>
    </row>
    <row r="345" spans="1:4" ht="15">
      <c r="A345" s="3" t="s">
        <v>128</v>
      </c>
      <c r="B345" s="5">
        <v>41222</v>
      </c>
      <c r="C345" s="4" t="s">
        <v>602</v>
      </c>
      <c r="D345" s="3" t="str">
        <f>HYPERLINK("http://www.newvision.co.ug/news/635108-bududa-orphans-appeal-for-scholarships.html")</f>
        <v>http://www.newvision.co.ug/news/635108-bududa-orphans-appeal-for-scholarships.html</v>
      </c>
    </row>
    <row r="346" spans="1:4" ht="15">
      <c r="A346" s="3" t="s">
        <v>128</v>
      </c>
      <c r="B346" s="5">
        <v>41222</v>
      </c>
      <c r="C346" s="4" t="s">
        <v>128</v>
      </c>
      <c r="D346" s="3" t="str">
        <f>HYPERLINK("http://www.monitor.co.ug/News/National/New-Taxi-Park-closed-for-reconstruction/-/688334/1503810/-/6ayl95z/-/index.html")</f>
        <v>http://www.monitor.co.ug/News/National/New-Taxi-Park-closed-for-reconstruction/-/688334/1503810/-/6ayl95z/-/index.html</v>
      </c>
    </row>
    <row r="347" spans="1:4" ht="15">
      <c r="A347" s="3" t="s">
        <v>128</v>
      </c>
      <c r="B347" s="5">
        <v>41223</v>
      </c>
      <c r="C347" s="4" t="s">
        <v>128</v>
      </c>
      <c r="D347" s="3" t="str">
        <f>HYPERLINK("http://www.newvision.co.ug/news/636288-sacked-officials-sue-women-parliamentary-association.html")</f>
        <v>http://www.newvision.co.ug/news/636288-sacked-officials-sue-women-parliamentary-association.html</v>
      </c>
    </row>
    <row r="348" spans="1:4" ht="15">
      <c r="A348" s="3" t="s">
        <v>128</v>
      </c>
      <c r="B348" s="5">
        <v>41244</v>
      </c>
      <c r="C348" s="4" t="s">
        <v>128</v>
      </c>
      <c r="D348" s="3" t="str">
        <f>HYPERLINK("http://www.newvision.co.ug/news/628328-students-to-over-flood-manjasi-high-for-championships.html")</f>
        <v>http://www.newvision.co.ug/news/628328-students-to-over-flood-manjasi-high-for-championships.html</v>
      </c>
    </row>
    <row r="349" spans="1:4" ht="15">
      <c r="A349" s="3" t="s">
        <v>128</v>
      </c>
      <c r="B349" s="5">
        <v>41244</v>
      </c>
      <c r="C349" s="4" t="s">
        <v>128</v>
      </c>
      <c r="D349" s="3" t="str">
        <f>HYPERLINK("http://www.monitor.co.ug/News/National/-/688334/1304512/-/b21tmxz/-/index.html")</f>
        <v>http://www.monitor.co.ug/News/National/-/688334/1304512/-/b21tmxz/-/index.html</v>
      </c>
    </row>
    <row r="350" spans="1:4" ht="15">
      <c r="A350" s="3" t="s">
        <v>128</v>
      </c>
      <c r="B350" s="5">
        <v>41251</v>
      </c>
      <c r="C350" s="4" t="s">
        <v>128</v>
      </c>
      <c r="D350" s="3" t="str">
        <f>HYPERLINK("http://www.monitor.co.ug/News/National/National-water-board-ranks-Gisagara-best-for-MD-s-job/-/688334/1477126/-/2ew9osz/-/index.html")</f>
        <v>http://www.monitor.co.ug/News/National/National-water-board-ranks-Gisagara-best-for-MD-s-job/-/688334/1477126/-/2ew9osz/-/index.html</v>
      </c>
    </row>
    <row r="351" spans="1:4" ht="15">
      <c r="A351" s="3" t="s">
        <v>128</v>
      </c>
      <c r="B351" s="5">
        <v>41252</v>
      </c>
      <c r="C351" s="4" t="s">
        <v>128</v>
      </c>
      <c r="D351" s="3" t="str">
        <f>HYPERLINK("http://www.monitor.co.ug/News/National/Brace-for-heavy-rains--says-government/-/688334/1504588/-/11ditytz/-/index.html")</f>
        <v>http://www.monitor.co.ug/News/National/Brace-for-heavy-rains--says-government/-/688334/1504588/-/11ditytz/-/index.html</v>
      </c>
    </row>
    <row r="352" spans="1:4" ht="15">
      <c r="A352" s="3" t="s">
        <v>128</v>
      </c>
      <c r="B352" s="5">
        <v>41252</v>
      </c>
      <c r="C352" s="4" t="s">
        <v>128</v>
      </c>
      <c r="D352" s="3" t="str">
        <f>HYPERLINK("http://www.monitor.co.ug/News/National/MPs-summon-Ssekandi-over-illegal-city-building/-/688334/1504578/-/9lvgrhz/-/index.html")</f>
        <v>http://www.monitor.co.ug/News/National/MPs-summon-Ssekandi-over-illegal-city-building/-/688334/1504578/-/9lvgrhz/-/index.html</v>
      </c>
    </row>
    <row r="353" spans="1:4" ht="15">
      <c r="A353" s="3" t="s">
        <v>128</v>
      </c>
      <c r="B353" s="5">
        <v>41255</v>
      </c>
      <c r="C353" s="4" t="s">
        <v>563</v>
      </c>
      <c r="D353" s="3" t="str">
        <f>HYPERLINK("http://www.monitor.co.ug/News/National/Firm-demands-Shs2b-for-Bududa-rescue-mission/-/688334/1642044/-/5ohmraz/-/index.html")</f>
        <v>http://www.monitor.co.ug/News/National/Firm-demands-Shs2b-for-Bududa-rescue-mission/-/688334/1642044/-/5ohmraz/-/index.html</v>
      </c>
    </row>
    <row r="354" spans="1:4" ht="15">
      <c r="A354" s="3" t="s">
        <v>128</v>
      </c>
      <c r="B354" s="5">
        <v>41277</v>
      </c>
      <c r="C354" s="4" t="s">
        <v>707</v>
      </c>
      <c r="D354" s="3" t="str">
        <f>HYPERLINK("http://www.monitor.co.ug/News/National/Bwaise-gets-piped-water/-/688334/1707756/-/nuihd1z/-/index.html")</f>
        <v>http://www.monitor.co.ug/News/National/Bwaise-gets-piped-water/-/688334/1707756/-/nuihd1z/-/index.html</v>
      </c>
    </row>
    <row r="355" spans="1:4" ht="15">
      <c r="A355" s="3" t="s">
        <v>128</v>
      </c>
      <c r="B355" s="5">
        <v>41283</v>
      </c>
      <c r="C355" s="4" t="s">
        <v>128</v>
      </c>
      <c r="D355" s="3" t="str">
        <f>HYPERLINK("http://www.monitor.co.ug/Magazines/Life/I-m-still-too-young-to-live-like-a-millionaire/-/689856/1974786/-/w5xy5xz/-/index.html")</f>
        <v>http://www.monitor.co.ug/Magazines/Life/I-m-still-too-young-to-live-like-a-millionaire/-/689856/1974786/-/w5xy5xz/-/index.html</v>
      </c>
    </row>
    <row r="356" spans="1:4" ht="15">
      <c r="A356" s="3" t="s">
        <v>128</v>
      </c>
      <c r="B356" s="5">
        <v>41286</v>
      </c>
      <c r="C356" s="4" t="s">
        <v>128</v>
      </c>
      <c r="D356" s="3" t="str">
        <f>HYPERLINK("http://www.monitor.co.ug/OpEd/Letters/Help-the-north-to-cope-with-disasters/-/806314/2094416/-/yowvjw/-/index.html")</f>
        <v>http://www.monitor.co.ug/OpEd/Letters/Help-the-north-to-cope-with-disasters/-/806314/2094416/-/yowvjw/-/index.html</v>
      </c>
    </row>
    <row r="357" spans="1:4" ht="15">
      <c r="A357" s="3" t="s">
        <v>128</v>
      </c>
      <c r="B357" s="5">
        <v>41306</v>
      </c>
      <c r="C357" s="4" t="s">
        <v>128</v>
      </c>
      <c r="D357" s="3" t="str">
        <f>HYPERLINK("http://www.monitor.co.ug/OpEd/OpEdColumnists/CharlesOnyangoObbo/What--The-Hostel--TV-drama-and-other-2012-stories/-/878504/1655504/-/9xy50o/-/index.html")</f>
        <v>http://www.monitor.co.ug/OpEd/OpEdColumnists/CharlesOnyangoObbo/What--The-Hostel--TV-drama-and-other-2012-stories/-/878504/1655504/-/9xy50o/-/index.html</v>
      </c>
    </row>
    <row r="358" spans="1:4" ht="15">
      <c r="A358" s="3" t="s">
        <v>128</v>
      </c>
      <c r="B358" s="5">
        <v>41307</v>
      </c>
      <c r="C358" s="4" t="s">
        <v>128</v>
      </c>
      <c r="D358" s="3" t="str">
        <f>HYPERLINK("http://www.monitor.co.ug/artsculture/Travel/Bukoba--the-Ugandan-town-in-Tanzania/-/691238/1681752/-/p319vm/-/index.html")</f>
        <v>http://www.monitor.co.ug/artsculture/Travel/Bukoba--the-Ugandan-town-in-Tanzania/-/691238/1681752/-/p319vm/-/index.html</v>
      </c>
    </row>
    <row r="359" spans="1:4" ht="15">
      <c r="A359" s="3" t="s">
        <v>128</v>
      </c>
      <c r="B359" s="5">
        <v>41309</v>
      </c>
      <c r="C359" s="4" t="s">
        <v>665</v>
      </c>
      <c r="D359" s="3" t="str">
        <f>HYPERLINK("http://www.monitor.co.ug/News/National/KCCA--city-musicians-plan-meeting/-/688334/1736462/-/kb77ip/-/index.html")</f>
        <v>http://www.monitor.co.ug/News/National/KCCA--city-musicians-plan-meeting/-/688334/1736462/-/kb77ip/-/index.html</v>
      </c>
    </row>
    <row r="360" spans="1:4" ht="15">
      <c r="A360" s="3" t="s">
        <v>128</v>
      </c>
      <c r="B360" s="5">
        <v>41312</v>
      </c>
      <c r="C360" s="4" t="s">
        <v>709</v>
      </c>
      <c r="D360" s="3" t="str">
        <f>HYPERLINK("http://www.monitor.co.ug/News/National/Northern-Bypass-turns-into-death-trap/-/688334/1901408/-/l6m7ucz/-/index.html")</f>
        <v>http://www.monitor.co.ug/News/National/Northern-Bypass-turns-into-death-trap/-/688334/1901408/-/l6m7ucz/-/index.html</v>
      </c>
    </row>
    <row r="361" spans="1:4" ht="15">
      <c r="A361" s="3" t="s">
        <v>128</v>
      </c>
      <c r="B361" s="5">
        <v>41314</v>
      </c>
      <c r="C361" s="4" t="s">
        <v>128</v>
      </c>
      <c r="D361" s="3" t="str">
        <f>HYPERLINK("http://www.monitor.co.ug/News/National/Farmers-told-to-plant-as-rains-begin/-/688334/1976138/-/fvryt3z/-/index.html")</f>
        <v>http://www.monitor.co.ug/News/National/Farmers-told-to-plant-as-rains-begin/-/688334/1976138/-/fvryt3z/-/index.html</v>
      </c>
    </row>
    <row r="362" spans="1:4" ht="15">
      <c r="A362" s="3" t="s">
        <v>128</v>
      </c>
      <c r="B362" s="5">
        <v>41334</v>
      </c>
      <c r="C362" s="4" t="s">
        <v>407</v>
      </c>
      <c r="D362" s="3" t="str">
        <f>HYPERLINK("http://www.monitor.co.ug/Business/Markets/Transport-posts-few-milestones/-/688606/1656056/-/7og9nvz/-/index.html")</f>
        <v>http://www.monitor.co.ug/Business/Markets/Transport-posts-few-milestones/-/688606/1656056/-/7og9nvz/-/index.html</v>
      </c>
    </row>
    <row r="363" spans="1:4" ht="15">
      <c r="A363" s="3" t="s">
        <v>128</v>
      </c>
      <c r="B363" s="5">
        <v>41335</v>
      </c>
      <c r="C363" s="4" t="s">
        <v>128</v>
      </c>
      <c r="D363" s="3" t="str">
        <f>HYPERLINK("http://www.monitor.co.ug/Magazines/Life/Bukoba--the-Ugandan-town-in-Tanzania/-/689856/1682730/-/41js5hz/-/index.html")</f>
        <v>http://www.monitor.co.ug/Magazines/Life/Bukoba--the-Ugandan-town-in-Tanzania/-/689856/1682730/-/41js5hz/-/index.html</v>
      </c>
    </row>
    <row r="364" spans="1:4" ht="15">
      <c r="A364" s="3" t="s">
        <v>128</v>
      </c>
      <c r="B364" s="5">
        <v>41338</v>
      </c>
      <c r="C364" s="4" t="s">
        <v>563</v>
      </c>
      <c r="D364" s="3" t="str">
        <f>HYPERLINK("http://www.newvision.co.ug/news/642321-floods-ecweru-dashes-to-kasese.html")</f>
        <v>http://www.newvision.co.ug/news/642321-floods-ecweru-dashes-to-kasese.html</v>
      </c>
    </row>
    <row r="365" spans="1:4" ht="15">
      <c r="A365" s="3" t="s">
        <v>128</v>
      </c>
      <c r="B365" s="5">
        <v>41339</v>
      </c>
      <c r="C365" s="4" t="s">
        <v>128</v>
      </c>
      <c r="D365" s="3" t="str">
        <f>HYPERLINK("http://www.monitor.co.ug/News/National/Tibabimanya--75--has-trekked-4-500km-in-the-past-10-years/-/688334/1870422/-/e4cs97z/-/index.html")</f>
        <v>http://www.monitor.co.ug/News/National/Tibabimanya--75--has-trekked-4-500km-in-the-past-10-years/-/688334/1870422/-/e4cs97z/-/index.html</v>
      </c>
    </row>
    <row r="366" spans="1:4" ht="15">
      <c r="A366" s="3" t="s">
        <v>128</v>
      </c>
      <c r="B366" s="5">
        <v>41368</v>
      </c>
      <c r="C366" s="4" t="s">
        <v>128</v>
      </c>
      <c r="D366" s="3" t="str">
        <f>HYPERLINK("http://www.monitor.co.ug/OpEd/OpEdColumnists/DanielKalinaki/Uganda-is-not-a-failed-State-but-we-are-a-State-that-fails/-/878782/1738496/-/ilqva0/-/index.html")</f>
        <v>http://www.monitor.co.ug/OpEd/OpEdColumnists/DanielKalinaki/Uganda-is-not-a-failed-State-but-we-are-a-State-that-fails/-/878782/1738496/-/ilqva0/-/index.html</v>
      </c>
    </row>
    <row r="367" spans="1:4" ht="15">
      <c r="A367" s="3" t="s">
        <v>128</v>
      </c>
      <c r="B367" s="5">
        <v>41370</v>
      </c>
      <c r="C367" s="4" t="s">
        <v>563</v>
      </c>
      <c r="D367" s="3" t="str">
        <f>HYPERLINK("http://www.newvision.co.ug/news/643566-poisonous-yams-flood-kampala.html")</f>
        <v>http://www.newvision.co.ug/news/643566-poisonous-yams-flood-kampala.html</v>
      </c>
    </row>
    <row r="368" spans="1:4" ht="15">
      <c r="A368" s="3" t="s">
        <v>128</v>
      </c>
      <c r="B368" s="5">
        <v>41371</v>
      </c>
      <c r="C368" s="4" t="s">
        <v>128</v>
      </c>
      <c r="D368" s="3" t="str">
        <f>HYPERLINK("http://www.monitor.co.ug/OpEd/OpEdColumnists/KaroliSsemogerere/Namungoona-tanker-inferno--Politics-of-the-poor-and-scarcity/-/878682/1903582/-/ejppy1/-/index.html")</f>
        <v>http://www.monitor.co.ug/OpEd/OpEdColumnists/KaroliSsemogerere/Namungoona-tanker-inferno--Politics-of-the-poor-and-scarcity/-/878682/1903582/-/ejppy1/-/index.html</v>
      </c>
    </row>
    <row r="369" spans="1:4" ht="15">
      <c r="A369" s="3" t="s">
        <v>128</v>
      </c>
      <c r="B369" s="5">
        <v>41400</v>
      </c>
      <c r="C369" s="4" t="s">
        <v>128</v>
      </c>
      <c r="D369" s="3" t="str">
        <f>HYPERLINK("http://www.monitor.co.ug/News/National/EC-gives-guidelines-for-Butebo-election/-/688334/1872444/-/nyfw7p/-/index.html")</f>
        <v>http://www.monitor.co.ug/News/National/EC-gives-guidelines-for-Butebo-election/-/688334/1872444/-/nyfw7p/-/index.html</v>
      </c>
    </row>
    <row r="370" spans="1:4" ht="15">
      <c r="A370" s="3" t="s">
        <v>128</v>
      </c>
      <c r="B370" s="5">
        <v>41400</v>
      </c>
      <c r="C370" s="4" t="s">
        <v>128</v>
      </c>
      <c r="D370" s="3" t="str">
        <f>HYPERLINK("http://www.monitor.co.ug/artsculture/Reviews/KITOORO--A-shanty-place-on-the-fringes-of-Nsambya/-/691232/1872216/-/uabs5az/-/index.html")</f>
        <v>http://www.monitor.co.ug/artsculture/Reviews/KITOORO--A-shanty-place-on-the-fringes-of-Nsambya/-/691232/1872216/-/uabs5az/-/index.html</v>
      </c>
    </row>
    <row r="371" spans="1:4" ht="15">
      <c r="A371" s="3" t="s">
        <v>128</v>
      </c>
      <c r="B371" s="5">
        <v>41406</v>
      </c>
      <c r="C371" s="4" t="s">
        <v>128</v>
      </c>
      <c r="D371" s="3" t="str">
        <f>HYPERLINK("http://www.monitor.co.ug/Sports/Soccer/Weather-contrives-to-expose-Cecafa-frailties/-/690266/2099342/-/14n84psz/-/index.html")</f>
        <v>http://www.monitor.co.ug/Sports/Soccer/Weather-contrives-to-expose-Cecafa-frailties/-/690266/2099342/-/14n84psz/-/index.html</v>
      </c>
    </row>
    <row r="372" spans="1:4" ht="15">
      <c r="A372" s="3" t="s">
        <v>128</v>
      </c>
      <c r="B372" s="5">
        <v>41426</v>
      </c>
      <c r="C372" s="4" t="s">
        <v>493</v>
      </c>
      <c r="D372" s="3" t="str">
        <f>HYPERLINK("http://www.monitor.co.ug/Magazines/PeoplePower/UNRA--No-cash-for-600km-of-roads/-/689844/1657992/-/wbjghi/-/index.html")</f>
        <v>http://www.monitor.co.ug/Magazines/PeoplePower/UNRA--No-cash-for-600km-of-roads/-/689844/1657992/-/wbjghi/-/index.html</v>
      </c>
    </row>
    <row r="373" spans="1:4" ht="15">
      <c r="A373" s="3" t="s">
        <v>128</v>
      </c>
      <c r="B373" s="5">
        <v>41427</v>
      </c>
      <c r="C373" s="4" t="s">
        <v>706</v>
      </c>
      <c r="D373" s="3" t="str">
        <f>HYPERLINK("http://www.monitor.co.ug/OpEd/OpEdColumnists/CharlesOnyangoObbo/The-trouble-with-Uganda-s-economic-gangsters-/-/878504/1685922/-/55y27oz/-/index.html")</f>
        <v>http://www.monitor.co.ug/OpEd/OpEdColumnists/CharlesOnyangoObbo/The-trouble-with-Uganda-s-economic-gangsters-/-/878504/1685922/-/55y27oz/-/index.html</v>
      </c>
    </row>
    <row r="374" spans="1:4" ht="15">
      <c r="A374" s="3" t="s">
        <v>128</v>
      </c>
      <c r="B374" s="5">
        <v>41428</v>
      </c>
      <c r="C374" s="4" t="s">
        <v>630</v>
      </c>
      <c r="D374" s="3" t="str">
        <f>HYPERLINK("http://www.monitor.co.ug/News/National/Mystery-surrounds-night-raid-on-Mbuya/-/688334/1712530/-/133y9hfz/-/index.html")</f>
        <v>http://www.monitor.co.ug/News/National/Mystery-surrounds-night-raid-on-Mbuya/-/688334/1712530/-/133y9hfz/-/index.html</v>
      </c>
    </row>
    <row r="375" spans="1:4" ht="15">
      <c r="A375" s="3" t="s">
        <v>128</v>
      </c>
      <c r="B375" s="5">
        <v>41460</v>
      </c>
      <c r="C375" s="4" t="s">
        <v>590</v>
      </c>
      <c r="D375" s="3" t="str">
        <f>HYPERLINK("http://www.newvision.co.ug/news/642436-red-cross-seeks-sh1-8b-for-kasese-floods-victims.html")</f>
        <v>http://www.newvision.co.ug/news/642436-red-cross-seeks-sh1-8b-for-kasese-floods-victims.html</v>
      </c>
    </row>
    <row r="376" spans="1:4" ht="15">
      <c r="A376" s="3" t="s">
        <v>128</v>
      </c>
      <c r="B376" s="5">
        <v>41489</v>
      </c>
      <c r="C376" s="4" t="s">
        <v>128</v>
      </c>
      <c r="D376" s="3" t="str">
        <f>HYPERLINK("http://www.monitor.co.ug/News/National/Drainage-system-plan-to-be-rolled-out-next-year/-/688334/1714324/-/1540xklz/-/index.html")</f>
        <v>http://www.monitor.co.ug/News/National/Drainage-system-plan-to-be-rolled-out-next-year/-/688334/1714324/-/1540xklz/-/index.html</v>
      </c>
    </row>
    <row r="377" spans="1:4" ht="15">
      <c r="A377" s="3" t="s">
        <v>128</v>
      </c>
      <c r="B377" s="5">
        <v>41491</v>
      </c>
      <c r="C377" s="4" t="s">
        <v>591</v>
      </c>
      <c r="D377" s="3" t="str">
        <f>HYPERLINK("http://www.newvision.co.ug/news/642480-kasese-floods-destroy-property-worth-sh8b.html")</f>
        <v>http://www.newvision.co.ug/news/642480-kasese-floods-destroy-property-worth-sh8b.html</v>
      </c>
    </row>
    <row r="378" spans="1:4" ht="15">
      <c r="A378" s="3" t="s">
        <v>128</v>
      </c>
      <c r="B378" s="5">
        <v>41493</v>
      </c>
      <c r="C378" s="4" t="s">
        <v>571</v>
      </c>
      <c r="D378" s="3" t="str">
        <f>HYPERLINK("http://www.monitor.co.ug/OpEd/Editorial/Monitor-wetland-activities-closely/-/689360/1908272/-/wurjd5z/-/index.html")</f>
        <v>http://www.monitor.co.ug/OpEd/Editorial/Monitor-wetland-activities-closely/-/689360/1908272/-/wurjd5z/-/index.html</v>
      </c>
    </row>
    <row r="379" spans="1:4" ht="15">
      <c r="A379" s="3" t="s">
        <v>128</v>
      </c>
      <c r="B379" s="5">
        <v>41520</v>
      </c>
      <c r="C379" s="4" t="s">
        <v>568</v>
      </c>
      <c r="D379" s="3" t="str">
        <f>HYPERLINK("http://www.monitor.co.ug/OpEd/Letters/Consider-a-more-suitable-location-than-Bukasa-for-an-inland-port/-/806314/1714606/-/12111mo/-/index.html")</f>
        <v>http://www.monitor.co.ug/OpEd/Letters/Consider-a-more-suitable-location-than-Bukasa-for-an-inland-port/-/806314/1714606/-/12111mo/-/index.html</v>
      </c>
    </row>
    <row r="380" spans="1:4" ht="15">
      <c r="A380" s="3" t="s">
        <v>128</v>
      </c>
      <c r="B380" s="5">
        <v>41526</v>
      </c>
      <c r="C380" s="4" t="s">
        <v>128</v>
      </c>
      <c r="D380" s="3" t="str">
        <f>HYPERLINK("http://www.monitor.co.ug/News/National/2006-NRM-manifesto--An-account-of-/-/688334/1984296/-/orsibf/-/index.html")</f>
        <v>http://www.monitor.co.ug/News/National/2006-NRM-manifesto--An-account-of-/-/688334/1984296/-/orsibf/-/index.html</v>
      </c>
    </row>
    <row r="381" spans="1:4" ht="15">
      <c r="A381" s="3" t="s">
        <v>128</v>
      </c>
      <c r="B381" s="5">
        <v>41527</v>
      </c>
      <c r="C381" s="4" t="s">
        <v>562</v>
      </c>
      <c r="D381" s="3" t="str">
        <f>HYPERLINK("http://www.monitor.co.ug/Magazines/HomesandProperty/Considerations-worth-noting-before-acquiring-property/-/689858/2024370/-/vnc9xh/-/index.html")</f>
        <v>http://www.monitor.co.ug/Magazines/HomesandProperty/Considerations-worth-noting-before-acquiring-property/-/689858/2024370/-/vnc9xh/-/index.html</v>
      </c>
    </row>
    <row r="382" spans="1:4" ht="15">
      <c r="A382" s="3" t="s">
        <v>128</v>
      </c>
      <c r="B382" s="5">
        <v>41556</v>
      </c>
      <c r="C382" s="4" t="s">
        <v>128</v>
      </c>
      <c r="D382" s="3" t="str">
        <f>HYPERLINK("http://www.monitor.co.ug/artsculture/Reviews/How-the-water-purifier-works/-/691232/1985604/-/cq3pnez/-/index.html")</f>
        <v>http://www.monitor.co.ug/artsculture/Reviews/How-the-water-purifier-works/-/691232/1985604/-/cq3pnez/-/index.html</v>
      </c>
    </row>
    <row r="383" spans="1:4" ht="15">
      <c r="A383" s="3" t="s">
        <v>128</v>
      </c>
      <c r="B383" s="5">
        <v>41586</v>
      </c>
      <c r="C383" s="4" t="s">
        <v>616</v>
      </c>
      <c r="D383" s="3" t="str">
        <f>HYPERLINK("http://www.monitor.co.ug/News/National/Landslides-bury-five-villages-in-Bududa/-/688334/1944328/-/ji1lwz/-/index.html")</f>
        <v>http://www.monitor.co.ug/News/National/Landslides-bury-five-villages-in-Bududa/-/688334/1944328/-/ji1lwz/-/index.html</v>
      </c>
    </row>
    <row r="384" spans="1:4" ht="15">
      <c r="A384" s="3" t="s">
        <v>128</v>
      </c>
      <c r="B384" s="5">
        <v>41642</v>
      </c>
      <c r="C384" s="4" t="s">
        <v>628</v>
      </c>
      <c r="D384" s="3" t="str">
        <f>HYPERLINK("http://www.monitor.co.ug/Magazines/Score/Regional-championships-chance-for-new-dawn-in-Ugandan-rowing/-/689854/2225830/-/t6s2gdz/-/index.html")</f>
        <v>http://www.monitor.co.ug/Magazines/Score/Regional-championships-chance-for-new-dawn-in-Ugandan-rowing/-/689854/2225830/-/t6s2gdz/-/index.html</v>
      </c>
    </row>
    <row r="385" spans="1:4" ht="15">
      <c r="A385" s="3" t="s">
        <v>128</v>
      </c>
      <c r="B385" s="5">
        <v>41644</v>
      </c>
      <c r="C385" s="4" t="s">
        <v>652</v>
      </c>
      <c r="D385" s="3" t="str">
        <f>HYPERLINK("http://www.monitor.co.ug/OpEd/Commentary/-25m-on-a-parking-lot--Can-someone-please/-/689364/2299130/-/np1ai2z/-/index.html")</f>
        <v>http://www.monitor.co.ug/OpEd/Commentary/-25m-on-a-parking-lot--Can-someone-please/-/689364/2299130/-/np1ai2z/-/index.html</v>
      </c>
    </row>
    <row r="386" spans="1:4" ht="15">
      <c r="A386" s="3" t="s">
        <v>128</v>
      </c>
      <c r="B386" s="5">
        <v>41644</v>
      </c>
      <c r="C386" s="4" t="s">
        <v>652</v>
      </c>
      <c r="D386" s="3" t="str">
        <f>HYPERLINK("http://www.monitor.co.ug/OpEd/OpEdColumnists/DanielKalinaki/-25m-on-a-parking-lot--Can-someone-please/-/878782/2299126/-/entu9l/-/index.html")</f>
        <v>http://www.monitor.co.ug/OpEd/OpEdColumnists/DanielKalinaki/-25m-on-a-parking-lot--Can-someone-please/-/878782/2299126/-/entu9l/-/index.html</v>
      </c>
    </row>
    <row r="387" spans="1:4" ht="15">
      <c r="A387" s="3" t="s">
        <v>128</v>
      </c>
      <c r="B387" s="5">
        <v>41673</v>
      </c>
      <c r="C387" s="4" t="s">
        <v>711</v>
      </c>
      <c r="D387" s="3" t="str">
        <f>HYPERLINK("http://www.monitor.co.ug/Magazines/Life/Enthusiastic-about-the-environment/-/689856/2226878/-/dk70ek/-/index.html")</f>
        <v>http://www.monitor.co.ug/Magazines/Life/Enthusiastic-about-the-environment/-/689856/2226878/-/dk70ek/-/index.html</v>
      </c>
    </row>
    <row r="388" spans="1:4" ht="15">
      <c r="A388" s="3" t="s">
        <v>128</v>
      </c>
      <c r="B388" s="5">
        <v>41679</v>
      </c>
      <c r="C388" s="4" t="s">
        <v>128</v>
      </c>
      <c r="D388" s="3" t="str">
        <f>HYPERLINK("http://www.newvision.co.ug/news/659306-the-forgotten-golden-value-of-wetlands-in-kampala.html")</f>
        <v>http://www.newvision.co.ug/news/659306-the-forgotten-golden-value-of-wetlands-in-kampala.html</v>
      </c>
    </row>
    <row r="389" spans="1:4" ht="15">
      <c r="A389" s="3" t="s">
        <v>128</v>
      </c>
      <c r="B389" s="5">
        <v>41682</v>
      </c>
      <c r="C389" s="4" t="s">
        <v>128</v>
      </c>
      <c r="D389" s="3" t="str">
        <f>HYPERLINK("http://www.monitor.co.ug/News/National/Egyptian-water-experts-advise-government-on/-/688334/2541476/-/qh5wo8z/-/index.html")</f>
        <v>http://www.monitor.co.ug/News/National/Egyptian-water-experts-advise-government-on/-/688334/2541476/-/qh5wo8z/-/index.html</v>
      </c>
    </row>
    <row r="390" spans="1:4" ht="15">
      <c r="A390" s="3" t="s">
        <v>128</v>
      </c>
      <c r="B390" s="5">
        <v>41702</v>
      </c>
      <c r="C390" s="4" t="s">
        <v>712</v>
      </c>
      <c r="D390" s="3" t="str">
        <f>HYPERLINK("http://www.monitor.co.ug/OpEd/Editorial/Stop-rape-of-this-wetland/-/689360/2269400/-/cpy9xbz/-/index.html")</f>
        <v>http://www.monitor.co.ug/OpEd/Editorial/Stop-rape-of-this-wetland/-/689360/2269400/-/cpy9xbz/-/index.html</v>
      </c>
    </row>
    <row r="391" spans="1:4" ht="15">
      <c r="A391" s="3" t="s">
        <v>128</v>
      </c>
      <c r="B391" s="5">
        <v>41709</v>
      </c>
      <c r="C391" s="4" t="s">
        <v>719</v>
      </c>
      <c r="D391" s="3" t="str">
        <f>HYPERLINK("http://www.monitor.co.ug/News/National/Floods-displace-400-as-PLE-starts/-/688334/2508228/-/n04oimz/-/index.html")</f>
        <v>http://www.monitor.co.ug/News/National/Floods-displace-400-as-PLE-starts/-/688334/2508228/-/n04oimz/-/index.html</v>
      </c>
    </row>
    <row r="392" spans="1:4" ht="15">
      <c r="A392" s="3" t="s">
        <v>128</v>
      </c>
      <c r="B392" s="5">
        <v>41710</v>
      </c>
      <c r="C392" s="4" t="s">
        <v>128</v>
      </c>
      <c r="D392" s="3" t="str">
        <f>HYPERLINK("http://www.newvision.co.ug/news/662490-kampala-s-floods-we-are-all-culpable.html")</f>
        <v>http://www.newvision.co.ug/news/662490-kampala-s-floods-we-are-all-culpable.html</v>
      </c>
    </row>
    <row r="393" spans="1:4" ht="15">
      <c r="A393" s="3" t="s">
        <v>128</v>
      </c>
      <c r="B393" s="5">
        <v>41710</v>
      </c>
      <c r="C393" s="4" t="s">
        <v>565</v>
      </c>
      <c r="D393" s="3" t="str">
        <f>HYPERLINK("http://www.monitor.co.ug/Magazines/Farming/It-is-about-time-we-embraced-urban-farming/-/689860/2542468/-/oyfv51z/-/index.html")</f>
        <v>http://www.monitor.co.ug/Magazines/Farming/It-is-about-time-we-embraced-urban-farming/-/689860/2542468/-/oyfv51z/-/index.html</v>
      </c>
    </row>
    <row r="394" spans="1:4" ht="15">
      <c r="A394" s="3" t="s">
        <v>128</v>
      </c>
      <c r="B394" s="5">
        <v>41732</v>
      </c>
      <c r="C394" s="4" t="s">
        <v>128</v>
      </c>
      <c r="D394" s="3" t="str">
        <f>HYPERLINK("http://www.monitor.co.ug/News/National/Government-cancels-all-land-titles-on-wetlands/-/688334/2229554/-/pv6dt8/-/index.html")</f>
        <v>http://www.monitor.co.ug/News/National/Government-cancels-all-land-titles-on-wetlands/-/688334/2229554/-/pv6dt8/-/index.html</v>
      </c>
    </row>
    <row r="395" spans="1:4" ht="15">
      <c r="A395" s="3" t="s">
        <v>128</v>
      </c>
      <c r="B395" s="5">
        <v>41734</v>
      </c>
      <c r="C395" s="4" t="s">
        <v>726</v>
      </c>
      <c r="D395" s="3" t="str">
        <f>HYPERLINK("http://www.monitor.co.ug/Magazines/PeoplePower/Flyover-won-t-decongest-Kampala-city/-/689844/2302210/-/mvret3/-/index.html")</f>
        <v>http://www.monitor.co.ug/Magazines/PeoplePower/Flyover-won-t-decongest-Kampala-city/-/689844/2302210/-/mvret3/-/index.html</v>
      </c>
    </row>
    <row r="396" spans="1:4" ht="15">
      <c r="A396" s="3" t="s">
        <v>128</v>
      </c>
      <c r="B396" s="5">
        <v>41738</v>
      </c>
      <c r="C396" s="4" t="s">
        <v>128</v>
      </c>
      <c r="D396" s="3" t="str">
        <f>HYPERLINK("http://www.newvision.co.ug/news/659387-flood-risk-management-is-crucial-for-kampala-city.html")</f>
        <v>http://www.newvision.co.ug/news/659387-flood-risk-management-is-crucial-for-kampala-city.html</v>
      </c>
    </row>
    <row r="397" spans="1:4" ht="15">
      <c r="A397" s="3" t="s">
        <v>128</v>
      </c>
      <c r="B397" s="5">
        <v>41764</v>
      </c>
      <c r="C397" s="4" t="s">
        <v>562</v>
      </c>
      <c r="D397" s="3" t="str">
        <f>HYPERLINK("http://www.monitor.co.ug/News/National/KCCA-plans-to-ban-boda-bodas-from-city-centre/-/688334/2303590/-/3iqq6x/-/index.html")</f>
        <v>http://www.monitor.co.ug/News/National/KCCA-plans-to-ban-boda-bodas-from-city-centre/-/688334/2303590/-/3iqq6x/-/index.html</v>
      </c>
    </row>
    <row r="398" spans="1:4" ht="15">
      <c r="A398" s="3" t="s">
        <v>128</v>
      </c>
      <c r="B398" s="5">
        <v>41797</v>
      </c>
      <c r="C398" s="4" t="s">
        <v>128</v>
      </c>
      <c r="D398" s="3" t="str">
        <f>HYPERLINK("http://www.monitor.co.ug/OpEd/Commentary/Even-if-guilty--it-s-a-bad-move-for-China-to-hang-Ugandans/-/689364/2373366/-/1wqk8j/-/index.html")</f>
        <v>http://www.monitor.co.ug/OpEd/Commentary/Even-if-guilty--it-s-a-bad-move-for-China-to-hang-Ugandans/-/689364/2373366/-/1wqk8j/-/index.html</v>
      </c>
    </row>
    <row r="399" spans="1:4" ht="15">
      <c r="A399" s="3" t="s">
        <v>128</v>
      </c>
      <c r="B399" s="5">
        <v>41797</v>
      </c>
      <c r="C399" s="4" t="s">
        <v>128</v>
      </c>
      <c r="D399" s="3" t="str">
        <f>HYPERLINK("http://www.monitor.co.ug/OpEd/OpEdColumnists/BernardTabaire/Even-if-guilty--it-s-a-bad-move-for-China-to-hang-Ugandans/-/878688/2373374/-/nglyut/-/index.html")</f>
        <v>http://www.monitor.co.ug/OpEd/OpEdColumnists/BernardTabaire/Even-if-guilty--it-s-a-bad-move-for-China-to-hang-Ugandans/-/878688/2373374/-/nglyut/-/index.html</v>
      </c>
    </row>
    <row r="400" spans="1:4" ht="15">
      <c r="A400" s="3" t="s">
        <v>128</v>
      </c>
      <c r="B400" s="5">
        <v>41797</v>
      </c>
      <c r="C400" s="4" t="s">
        <v>128</v>
      </c>
      <c r="D400" s="3" t="str">
        <f>HYPERLINK("http://www.monitor.co.ug/Magazines/PeoplePower/Even-if-guilty--it-s-a-bad-move-for-China-to-hang-Ugandans/-/689844/2373350/-/3c5um4z/-/index.html")</f>
        <v>http://www.monitor.co.ug/Magazines/PeoplePower/Even-if-guilty--it-s-a-bad-move-for-China-to-hang-Ugandans/-/689844/2373350/-/3c5um4z/-/index.html</v>
      </c>
    </row>
    <row r="401" spans="1:4" ht="15">
      <c r="A401" s="3" t="s">
        <v>128</v>
      </c>
      <c r="B401" s="5">
        <v>41800</v>
      </c>
      <c r="C401" s="4" t="s">
        <v>128</v>
      </c>
      <c r="D401" s="3" t="str">
        <f>HYPERLINK("http://www.monitor.co.ug/artsculture/Reviews/How-hydropower-dams-dry-up-Nile-River-tourism/-/691232/2475930/-/12q6jeqz/-/index.html")</f>
        <v>http://www.monitor.co.ug/artsculture/Reviews/How-hydropower-dams-dry-up-Nile-River-tourism/-/691232/2475930/-/12q6jeqz/-/index.html</v>
      </c>
    </row>
    <row r="402" spans="1:4" ht="15">
      <c r="A402" s="3" t="s">
        <v>128</v>
      </c>
      <c r="B402" s="5">
        <v>41801</v>
      </c>
      <c r="C402" s="4" t="s">
        <v>563</v>
      </c>
      <c r="D402" s="3" t="str">
        <f>HYPERLINK("http://www.monitor.co.ug/artsculture/Reviews/Bio-gas--A-school-is-using-a-latrine-to-cut-its-energy-bill/-/691232/2511926/-/jj9a3x/-/index.html")</f>
        <v>http://www.monitor.co.ug/artsculture/Reviews/Bio-gas--A-school-is-using-a-latrine-to-cut-its-energy-bill/-/691232/2511926/-/jj9a3x/-/index.html</v>
      </c>
    </row>
    <row r="403" spans="1:4" ht="15">
      <c r="A403" s="3" t="s">
        <v>128</v>
      </c>
      <c r="B403" s="5">
        <v>41823</v>
      </c>
      <c r="C403" s="4" t="s">
        <v>128</v>
      </c>
      <c r="D403" s="3" t="str">
        <f>HYPERLINK("http://www.monitor.co.ug/OpEd/Editorial/Enforce-wetland-title-directive/-/689360/2233624/-/t3035gz/-/index.html")</f>
        <v>http://www.monitor.co.ug/OpEd/Editorial/Enforce-wetland-title-directive/-/689360/2233624/-/t3035gz/-/index.html</v>
      </c>
    </row>
    <row r="404" spans="1:4" ht="15">
      <c r="A404" s="3" t="s">
        <v>128</v>
      </c>
      <c r="B404" s="5">
        <v>41831</v>
      </c>
      <c r="C404" s="4" t="s">
        <v>720</v>
      </c>
      <c r="D404" s="3" t="str">
        <f>HYPERLINK("http://www.monitor.co.ug/artsculture/Reviews/Authorities-look-on-as-Kinawataka--disappears-/-/691232/2513334/-/m6g3k8/-/index.html")</f>
        <v>http://www.monitor.co.ug/artsculture/Reviews/Authorities-look-on-as-Kinawataka--disappears-/-/691232/2513334/-/m6g3k8/-/index.html</v>
      </c>
    </row>
    <row r="405" spans="1:4" ht="15">
      <c r="A405" s="3" t="s">
        <v>128</v>
      </c>
      <c r="B405" s="5">
        <v>41860</v>
      </c>
      <c r="C405" s="4" t="s">
        <v>128</v>
      </c>
      <c r="D405" s="3" t="str">
        <f>HYPERLINK("http://www.monitor.co.ug/News/National/Hundreds-displaced-as-rains-pound-Albetong/-/688334/2444408/-/l5aob4/-/index.html")</f>
        <v>http://www.monitor.co.ug/News/National/Hundreds-displaced-as-rains-pound-Albetong/-/688334/2444408/-/l5aob4/-/index.html</v>
      </c>
    </row>
    <row r="406" spans="1:4" ht="15">
      <c r="A406" s="3" t="s">
        <v>128</v>
      </c>
      <c r="B406" s="5">
        <v>41887</v>
      </c>
      <c r="C406" s="4" t="s">
        <v>603</v>
      </c>
      <c r="D406" s="3" t="str">
        <f>HYPERLINK("http://www.monitor.co.ug/OpEd/Editorial/Disaster-risk-preparedness-key/-/689360/2308986/-/50td6a/-/index.html")</f>
        <v>http://www.monitor.co.ug/OpEd/Editorial/Disaster-risk-preparedness-key/-/689360/2308986/-/50td6a/-/index.html</v>
      </c>
    </row>
    <row r="407" spans="1:4" ht="15">
      <c r="A407" s="3" t="s">
        <v>128</v>
      </c>
      <c r="B407" s="5">
        <v>41888</v>
      </c>
      <c r="C407" s="4" t="s">
        <v>693</v>
      </c>
      <c r="D407" s="3" t="str">
        <f>HYPERLINK("http://www.monitor.co.ug/News/National/Floods-leave-Kampala-residents-stranded/-/688334/2342090/-/1vhf0z/-/index.html")</f>
        <v>http://www.monitor.co.ug/News/National/Floods-leave-Kampala-residents-stranded/-/688334/2342090/-/1vhf0z/-/index.html</v>
      </c>
    </row>
    <row r="408" spans="1:4" ht="15">
      <c r="A408" s="3" t="s">
        <v>128</v>
      </c>
      <c r="B408" s="5">
        <v>41889</v>
      </c>
      <c r="C408" s="4" t="s">
        <v>562</v>
      </c>
      <c r="D408" s="3" t="str">
        <f>HYPERLINK("http://www.monitor.co.ug/News/National/Minister-vows-to-transform-Kampala/-/688334/2376878/-/9osushz/-/index.html")</f>
        <v>http://www.monitor.co.ug/News/National/Minister-vows-to-transform-Kampala/-/688334/2376878/-/9osushz/-/index.html</v>
      </c>
    </row>
    <row r="409" spans="1:4" ht="15">
      <c r="A409" s="3" t="s">
        <v>128</v>
      </c>
      <c r="B409" s="5">
        <v>41918</v>
      </c>
      <c r="C409" s="4" t="s">
        <v>715</v>
      </c>
      <c r="D409" s="3" t="str">
        <f>HYPERLINK("http://www.newvision.co.ug/news/656432-floods-paralyse-city-businesses.html")</f>
        <v>http://www.newvision.co.ug/news/656432-floods-paralyse-city-businesses.html</v>
      </c>
    </row>
    <row r="410" spans="1:4" ht="15">
      <c r="A410" s="3" t="s">
        <v>128</v>
      </c>
      <c r="B410" s="5">
        <v>41918</v>
      </c>
      <c r="C410" s="4" t="s">
        <v>693</v>
      </c>
      <c r="D410" s="3" t="str">
        <f>HYPERLINK("http://www.monitor.co.ug/News/National/Floods-bring-Kampala-to-standstill/-/688334/2342364/-/65ywqt/-/index.html")</f>
        <v>http://www.monitor.co.ug/News/National/Floods-bring-Kampala-to-standstill/-/688334/2342364/-/65ywqt/-/index.html</v>
      </c>
    </row>
    <row r="411" spans="1:4" ht="15">
      <c r="A411" s="3" t="s">
        <v>128</v>
      </c>
      <c r="B411" s="5">
        <v>41923</v>
      </c>
      <c r="C411" s="4" t="s">
        <v>128</v>
      </c>
      <c r="D411" s="3" t="str">
        <f>HYPERLINK("http://www.monitor.co.ug/News/National/S-6-examinations-start-today/-/688334/2517000/-/131fw9f/-/index.html")</f>
        <v>http://www.monitor.co.ug/News/National/S-6-examinations-start-today/-/688334/2517000/-/131fw9f/-/index.html</v>
      </c>
    </row>
    <row r="412" spans="1:4" ht="15">
      <c r="A412" s="3" t="s">
        <v>128</v>
      </c>
      <c r="B412" s="5">
        <v>41948</v>
      </c>
      <c r="C412" s="4" t="s">
        <v>128</v>
      </c>
      <c r="D412" s="3" t="str">
        <f>HYPERLINK("http://www.newvision.co.ug/news/655435-works-on-nyamwamba-river-start-after-flood-disaster.html")</f>
        <v>http://www.newvision.co.ug/news/655435-works-on-nyamwamba-river-start-after-flood-disaster.html</v>
      </c>
    </row>
    <row r="413" spans="1:4" ht="15">
      <c r="A413" s="3" t="s">
        <v>128</v>
      </c>
      <c r="B413" s="5">
        <v>41948</v>
      </c>
      <c r="C413" s="4" t="s">
        <v>563</v>
      </c>
      <c r="D413" s="3" t="str">
        <f>HYPERLINK("http://www.monitor.co.ug/News/National/Govt-asks-for-Shs30b--to-stop-Kasese-floods/-/688334/2311358/-/1512cruz/-/index.html")</f>
        <v>http://www.monitor.co.ug/News/National/Govt-asks-for-Shs30b--to-stop-Kasese-floods/-/688334/2311358/-/1512cruz/-/index.html</v>
      </c>
    </row>
    <row r="414" spans="1:4" ht="15">
      <c r="A414" s="3" t="s">
        <v>128</v>
      </c>
      <c r="B414" s="5">
        <v>41951</v>
      </c>
      <c r="C414" s="4" t="s">
        <v>571</v>
      </c>
      <c r="D414" s="3" t="str">
        <f>HYPERLINK("http://www.monitor.co.ug/News/National/NRM-caucus-meets-today-over-gays-law/-/688334/2414652/-/i26epez/-/index.html")</f>
        <v>http://www.monitor.co.ug/News/National/NRM-caucus-meets-today-over-gays-law/-/688334/2414652/-/i26epez/-/index.html</v>
      </c>
    </row>
    <row r="415" spans="1:4" ht="15">
      <c r="A415" s="3" t="s">
        <v>128</v>
      </c>
      <c r="B415" s="5">
        <v>41981</v>
      </c>
      <c r="C415" s="4" t="s">
        <v>562</v>
      </c>
      <c r="D415" s="3" t="str">
        <f>HYPERLINK("http://www.monitor.co.ug/News/National/Crowds-as-ID-exercise-moves-to-sub-counties/-/688334/2415812/-/17wjiuz/-/index.html")</f>
        <v>http://www.monitor.co.ug/News/National/Crowds-as-ID-exercise-moves-to-sub-counties/-/688334/2415812/-/17wjiuz/-/index.html</v>
      </c>
    </row>
    <row r="416" spans="1:4" ht="15">
      <c r="A416" s="3" t="s">
        <v>128</v>
      </c>
      <c r="B416" s="5">
        <v>41982</v>
      </c>
      <c r="C416" s="4" t="s">
        <v>128</v>
      </c>
      <c r="D416" s="3" t="str">
        <f>HYPERLINK("http://www.monitor.co.ug/News/National/Egypt-gives-Shs4-billion-to-fight-Kasese-floods/-/688334/2449524/-/111mkni/-/index.html")</f>
        <v>http://www.monitor.co.ug/News/National/Egypt-gives-Shs4-billion-to-fight-Kasese-floods/-/688334/2449524/-/111mkni/-/index.html</v>
      </c>
    </row>
    <row r="417" spans="1:4" ht="15">
      <c r="A417" s="3" t="s">
        <v>128</v>
      </c>
      <c r="B417" s="5">
        <v>42005</v>
      </c>
      <c r="C417" s="4" t="s">
        <v>128</v>
      </c>
      <c r="D417" s="3" t="str">
        <f>HYPERLINK("http://www.monitor.co.ug/News/National/Mukwano-offers-aid-to-war-torn-South-Sudan/-/688334/2574562/-/afkaujz/-/index.html")</f>
        <v>http://www.monitor.co.ug/News/National/Mukwano-offers-aid-to-war-torn-South-Sudan/-/688334/2574562/-/afkaujz/-/index.html</v>
      </c>
    </row>
    <row r="418" spans="1:4" ht="15">
      <c r="A418" s="3" t="s">
        <v>128</v>
      </c>
      <c r="B418" s="5">
        <v>42011</v>
      </c>
      <c r="C418" s="4" t="s">
        <v>726</v>
      </c>
      <c r="D418" s="3" t="str">
        <f>HYPERLINK("http://www.monitor.co.ug/Magazines/HomesandProperty/Dealing-fraudsters-real-estate/-/689858/2770350/-/106kywz/-/index.html")</f>
        <v>http://www.monitor.co.ug/Magazines/HomesandProperty/Dealing-fraudsters-real-estate/-/689858/2770350/-/106kywz/-/index.html</v>
      </c>
    </row>
    <row r="419" spans="1:4" ht="15">
      <c r="A419" s="3" t="s">
        <v>128</v>
      </c>
      <c r="B419" s="5">
        <v>42013</v>
      </c>
      <c r="C419" s="4" t="s">
        <v>725</v>
      </c>
      <c r="D419" s="3" t="str">
        <f>HYPERLINK("http://www.newvision.co.ug/news/672858-police-hunt-for-maj-mutale-lukwago-militias.html")</f>
        <v>http://www.newvision.co.ug/news/672858-police-hunt-for-maj-mutale-lukwago-militias.html</v>
      </c>
    </row>
    <row r="420" spans="1:4" ht="15">
      <c r="A420" s="3" t="s">
        <v>128</v>
      </c>
      <c r="B420" s="5">
        <v>42065</v>
      </c>
      <c r="C420" s="4" t="s">
        <v>128</v>
      </c>
      <c r="D420" s="3" t="str">
        <f>HYPERLINK("http://www.monitor.co.ug/Sports/Soccer/Azam--to--walk-the-talk--as-league-broadcast/-/690266/2610794/-/13sastbz/-/index.html")</f>
        <v>http://www.monitor.co.ug/Sports/Soccer/Azam--to--walk-the-talk--as-league-broadcast/-/690266/2610794/-/13sastbz/-/index.html</v>
      </c>
    </row>
    <row r="421" spans="1:4" ht="15">
      <c r="A421" s="3" t="s">
        <v>128</v>
      </c>
      <c r="B421" s="5">
        <v>42066</v>
      </c>
      <c r="C421" s="4" t="s">
        <v>603</v>
      </c>
      <c r="D421" s="3" t="str">
        <f>HYPERLINK("http://www.newvision.co.ug/news/665452--50m-earmarked-for-weather-projections.html")</f>
        <v>http://www.newvision.co.ug/news/665452--50m-earmarked-for-weather-projections.html</v>
      </c>
    </row>
    <row r="422" spans="1:4" ht="15">
      <c r="A422" s="3" t="s">
        <v>128</v>
      </c>
      <c r="B422" s="5">
        <v>42125</v>
      </c>
      <c r="C422" s="4" t="s">
        <v>723</v>
      </c>
      <c r="D422" s="3" t="str">
        <f>HYPERLINK("http://www.newvision.co.ug/news/663415-kampala-flood-problems-and-proposed-solutions.html")</f>
        <v>http://www.newvision.co.ug/news/663415-kampala-flood-problems-and-proposed-solutions.html</v>
      </c>
    </row>
    <row r="423" spans="1:4" ht="15">
      <c r="A423" s="3" t="s">
        <v>128</v>
      </c>
      <c r="B423" s="5">
        <v>42190</v>
      </c>
      <c r="C423" s="4" t="s">
        <v>675</v>
      </c>
      <c r="D423" s="3" t="str">
        <f>HYPERLINK("http://www.newvision.co.ug/news/668019-floods-sweep-prado-vehicle-for-a-kilometre.html")</f>
        <v>http://www.newvision.co.ug/news/668019-floods-sweep-prado-vehicle-for-a-kilometre.html</v>
      </c>
    </row>
    <row r="424" spans="1:4" ht="15">
      <c r="A424" s="3" t="s">
        <v>128</v>
      </c>
      <c r="B424" s="5">
        <v>42220</v>
      </c>
      <c r="C424" s="4" t="s">
        <v>128</v>
      </c>
      <c r="D424" s="3" t="str">
        <f>HYPERLINK("http://www.monitor.co.ug/News/National/-1-3m-get-food-borne-diseases-/-/688334/2678814/-/mmg1fcz/-/index.html")</f>
        <v>http://www.monitor.co.ug/News/National/-1-3m-get-food-borne-diseases-/-/688334/2678814/-/mmg1fcz/-/index.html</v>
      </c>
    </row>
    <row r="425" spans="1:4" ht="15">
      <c r="A425" s="3" t="s">
        <v>128</v>
      </c>
      <c r="B425" s="5">
        <v>42313</v>
      </c>
      <c r="C425" s="4" t="s">
        <v>579</v>
      </c>
      <c r="D425" s="3" t="str">
        <f>HYPERLINK("http://www.monitor.co.ug/News/National/Mpigi-locals-protest-poor-state-of-road/-/688334/2712302/-/y6ctx3/-/index.html")</f>
        <v>http://www.monitor.co.ug/News/National/Mpigi-locals-protest-poor-state-of-road/-/688334/2712302/-/y6ctx3/-/index.html</v>
      </c>
    </row>
    <row r="426" spans="1:4" ht="15">
      <c r="A426" s="3" t="s">
        <v>128</v>
      </c>
      <c r="B426" s="5">
        <v>42314</v>
      </c>
      <c r="C426" s="4" t="s">
        <v>128</v>
      </c>
      <c r="D426" s="3" t="str">
        <f>HYPERLINK("http://www.monitor.co.ug/OpEd/OpEdColumnists/KaroliSsemogerere/need-legislation-clean-air-clean-water/-/878682/2747162/-/rbu6xp/-/index.html")</f>
        <v>http://www.monitor.co.ug/OpEd/OpEdColumnists/KaroliSsemogerere/need-legislation-clean-air-clean-water/-/878682/2747162/-/rbu6xp/-/index.html</v>
      </c>
    </row>
    <row r="427" spans="1:4" ht="15">
      <c r="A427" s="3" t="s">
        <v>128</v>
      </c>
      <c r="B427" s="5">
        <v>42314</v>
      </c>
      <c r="C427" s="4" t="s">
        <v>693</v>
      </c>
      <c r="D427" s="3" t="str">
        <f>HYPERLINK("http://www.newvision.co.ug/news/669649-kcca-to-evict-encroachers-from-waterways.html")</f>
        <v>http://www.newvision.co.ug/news/669649-kcca-to-evict-encroachers-from-waterways.html</v>
      </c>
    </row>
    <row r="428" spans="1:4" ht="15">
      <c r="A428" s="3" t="s">
        <v>128</v>
      </c>
      <c r="B428" s="5">
        <v>42341</v>
      </c>
      <c r="C428" s="4" t="s">
        <v>568</v>
      </c>
      <c r="D428" s="3" t="str">
        <f>HYPERLINK("http://www.monitor.co.ug/artsculture/Reviews/Just-how-bad-is-wetland-degradation-/-/691232/2650722/-/1093nfhz/-/index.html")</f>
        <v>http://www.monitor.co.ug/artsculture/Reviews/Just-how-bad-is-wetland-degradation-/-/691232/2650722/-/1093nfhz/-/index.html</v>
      </c>
    </row>
    <row r="429" spans="1:4" ht="15">
      <c r="A429" s="3" t="s">
        <v>128</v>
      </c>
      <c r="B429" s="4" t="s">
        <v>107</v>
      </c>
      <c r="C429" s="4" t="s">
        <v>128</v>
      </c>
      <c r="D429" s="3" t="str">
        <f>HYPERLINK("http://www.monitor.co.ug/artsculture/Reviews/Pakwach--The-town-that-hosted-the-eclipse-crowd/-/691232/2071002/-/hd1cq2/-/index.html")</f>
        <v>http://www.monitor.co.ug/artsculture/Reviews/Pakwach--The-town-that-hosted-the-eclipse-crowd/-/691232/2071002/-/hd1cq2/-/index.html</v>
      </c>
    </row>
    <row r="430" spans="1:4" ht="15">
      <c r="A430" s="3" t="s">
        <v>128</v>
      </c>
      <c r="B430" s="4" t="s">
        <v>323</v>
      </c>
      <c r="C430" s="4" t="s">
        <v>128</v>
      </c>
      <c r="D430" s="3" t="str">
        <f>HYPERLINK("http://www.monitor.co.ug/News/National/Live-Feed--Museveni-addressing-parliament/-/688334/1643070/-/sk3g9k/-/index.html")</f>
        <v>http://www.monitor.co.ug/News/National/Live-Feed--Museveni-addressing-parliament/-/688334/1643070/-/sk3g9k/-/index.html</v>
      </c>
    </row>
    <row r="431" spans="1:4" ht="15">
      <c r="A431" s="3" t="s">
        <v>128</v>
      </c>
      <c r="B431" s="4" t="s">
        <v>140</v>
      </c>
      <c r="C431" s="4" t="s">
        <v>128</v>
      </c>
      <c r="D431" s="3" t="str">
        <f>HYPERLINK("http://www.newvision.co.ug/news/474528-upbc-petitions-wbc-over-lusambya-fight.html")</f>
        <v>http://www.newvision.co.ug/news/474528-upbc-petitions-wbc-over-lusambya-fight.html</v>
      </c>
    </row>
    <row r="432" spans="1:4" ht="15">
      <c r="A432" s="3" t="s">
        <v>128</v>
      </c>
      <c r="B432" s="4" t="s">
        <v>284</v>
      </c>
      <c r="C432" s="4" t="s">
        <v>128</v>
      </c>
      <c r="D432" s="3" t="str">
        <f>HYPERLINK("http://www.monitor.co.ug/artsculture/Reviews/-/691232/1325528/-/9rj6a/-/index.html")</f>
        <v>http://www.monitor.co.ug/artsculture/Reviews/-/691232/1325528/-/9rj6a/-/index.html</v>
      </c>
    </row>
    <row r="433" spans="1:4" ht="15">
      <c r="A433" s="3" t="s">
        <v>128</v>
      </c>
      <c r="B433" s="4" t="s">
        <v>191</v>
      </c>
      <c r="C433" s="4" t="s">
        <v>128</v>
      </c>
      <c r="D433" s="3" t="str">
        <f>HYPERLINK("http://www.monitor.co.ug/OpEd/Commentary/-/689364/878002/-/ahk0aqz/-/index.html")</f>
        <v>http://www.monitor.co.ug/OpEd/Commentary/-/689364/878002/-/ahk0aqz/-/index.html</v>
      </c>
    </row>
    <row r="434" spans="1:4" ht="15">
      <c r="A434" s="3" t="s">
        <v>128</v>
      </c>
      <c r="B434" s="4" t="s">
        <v>361</v>
      </c>
      <c r="C434" s="4" t="s">
        <v>680</v>
      </c>
      <c r="D434" s="3" t="str">
        <f>HYPERLINK("http://www.monitor.co.ug/News/National/KCCA-accused-of-defaulting-to-pay-damages/-/688334/2241440/-/6tj34c/-/index.html")</f>
        <v>http://www.monitor.co.ug/News/National/KCCA-accused-of-defaulting-to-pay-damages/-/688334/2241440/-/6tj34c/-/index.html</v>
      </c>
    </row>
    <row r="435" spans="1:4" ht="15">
      <c r="A435" s="3" t="s">
        <v>128</v>
      </c>
      <c r="B435" s="4" t="s">
        <v>392</v>
      </c>
      <c r="C435" s="4" t="s">
        <v>562</v>
      </c>
      <c r="D435" s="3" t="str">
        <f>HYPERLINK("http://www.newvision.co.ug/news/665841-filth-chokes-kampala-s-suburbs.html")</f>
        <v>http://www.newvision.co.ug/news/665841-filth-chokes-kampala-s-suburbs.html</v>
      </c>
    </row>
    <row r="436" spans="1:4" ht="15">
      <c r="A436" s="3" t="s">
        <v>128</v>
      </c>
      <c r="B436" s="4" t="s">
        <v>202</v>
      </c>
      <c r="C436" s="4" t="s">
        <v>603</v>
      </c>
      <c r="D436" s="3" t="str">
        <f>HYPERLINK("http://www.newvision.co.ug/news/621338-news-in-brief.html")</f>
        <v>http://www.newvision.co.ug/news/621338-news-in-brief.html</v>
      </c>
    </row>
    <row r="437" spans="1:4" ht="15">
      <c r="A437" s="3" t="s">
        <v>128</v>
      </c>
      <c r="B437" s="4" t="s">
        <v>366</v>
      </c>
      <c r="C437" s="4" t="s">
        <v>128</v>
      </c>
      <c r="D437" s="3" t="str">
        <f>HYPERLINK("http://www.monitor.co.ug/Magazines/Life/May-it-never-happen-again/-/689856/2277384/-/bryq1v/-/index.html")</f>
        <v>http://www.monitor.co.ug/Magazines/Life/May-it-never-happen-again/-/689856/2277384/-/bryq1v/-/index.html</v>
      </c>
    </row>
    <row r="438" spans="1:4" ht="15">
      <c r="A438" s="3" t="s">
        <v>128</v>
      </c>
      <c r="B438" s="4" t="s">
        <v>366</v>
      </c>
      <c r="C438" s="4" t="s">
        <v>128</v>
      </c>
      <c r="D438" s="3" t="str">
        <f>HYPERLINK("http://www.monitor.co.ug/Business/Law-Commission-cautions-on-mobile-money-regulation/-/688322/2278412/-/12wkiaf/-/index.html")</f>
        <v>http://www.monitor.co.ug/Business/Law-Commission-cautions-on-mobile-money-regulation/-/688322/2278412/-/12wkiaf/-/index.html</v>
      </c>
    </row>
    <row r="439" spans="1:4" ht="15">
      <c r="A439" s="3" t="s">
        <v>128</v>
      </c>
      <c r="B439" s="4" t="s">
        <v>338</v>
      </c>
      <c r="C439" s="4" t="s">
        <v>586</v>
      </c>
      <c r="D439" s="3" t="str">
        <f>HYPERLINK("http://www.newvision.co.ug/news/642641-flood-devastation-in-pictures.html")</f>
        <v>http://www.newvision.co.ug/news/642641-flood-devastation-in-pictures.html</v>
      </c>
    </row>
    <row r="440" spans="1:4" ht="15">
      <c r="A440" s="3" t="s">
        <v>128</v>
      </c>
      <c r="B440" s="4" t="s">
        <v>213</v>
      </c>
      <c r="C440" s="4" t="s">
        <v>128</v>
      </c>
      <c r="D440" s="3" t="str">
        <f>HYPERLINK("http://www.monitor.co.ug/News/National/-/688334/937310/-/x0udvc/-/index.html")</f>
        <v>http://www.monitor.co.ug/News/National/-/688334/937310/-/x0udvc/-/index.html</v>
      </c>
    </row>
    <row r="441" spans="1:4" ht="15">
      <c r="A441" s="3" t="s">
        <v>128</v>
      </c>
      <c r="B441" s="4" t="s">
        <v>304</v>
      </c>
      <c r="C441" s="4" t="s">
        <v>603</v>
      </c>
      <c r="D441" s="3" t="str">
        <f>HYPERLINK("http://www.monitor.co.ug/News/National/Host-families-of-Bududa-survivors-overwhelmed/-/688334/1452370/-/vluqi3z/-/index.html")</f>
        <v>http://www.monitor.co.ug/News/National/Host-families-of-Bududa-survivors-overwhelmed/-/688334/1452370/-/vluqi3z/-/index.html</v>
      </c>
    </row>
    <row r="442" spans="1:4" ht="15">
      <c r="A442" s="3" t="s">
        <v>128</v>
      </c>
      <c r="B442" s="4" t="s">
        <v>347</v>
      </c>
      <c r="C442" s="4" t="s">
        <v>128</v>
      </c>
      <c r="D442" s="3" t="str">
        <f>HYPERLINK("http://www.monitor.co.ug/News/National/200-000-Ugandans-affected-by-disasters-annually/-/688334/1990466/-/orl9o3/-/index.html")</f>
        <v>http://www.monitor.co.ug/News/National/200-000-Ugandans-affected-by-disasters-annually/-/688334/1990466/-/orl9o3/-/index.html</v>
      </c>
    </row>
    <row r="443" spans="1:4" ht="15">
      <c r="A443" s="3" t="s">
        <v>128</v>
      </c>
      <c r="B443" s="4" t="s">
        <v>12</v>
      </c>
      <c r="C443" s="4" t="s">
        <v>630</v>
      </c>
      <c r="D443" s="3" t="str">
        <f>HYPERLINK("http://www.monitor.co.ug/News/National/-/688334/1089494/-/cj99o4z/-/index.html")</f>
        <v>http://www.monitor.co.ug/News/National/-/688334/1089494/-/cj99o4z/-/index.html</v>
      </c>
    </row>
    <row r="444" spans="1:4" ht="15">
      <c r="A444" s="3" t="s">
        <v>128</v>
      </c>
      <c r="B444" s="4" t="s">
        <v>351</v>
      </c>
      <c r="C444" s="4" t="s">
        <v>128</v>
      </c>
      <c r="D444" s="3" t="str">
        <f>HYPERLINK("http://www.monitor.co.ug/News/National/Heavy-rains-destroy-homes--crops/-/688334/2030892/-/m9c0yi/-/index.html")</f>
        <v>http://www.monitor.co.ug/News/National/Heavy-rains-destroy-homes--crops/-/688334/2030892/-/m9c0yi/-/index.html</v>
      </c>
    </row>
    <row r="445" spans="1:4" ht="15">
      <c r="A445" s="3" t="s">
        <v>128</v>
      </c>
      <c r="B445" s="4" t="s">
        <v>67</v>
      </c>
      <c r="C445" s="4" t="s">
        <v>128</v>
      </c>
      <c r="D445" s="3" t="str">
        <f>HYPERLINK("http://www.monitor.co.ug/News/National/-/688334/697006/-/vhbcnw/-/index.html")</f>
        <v>http://www.monitor.co.ug/News/National/-/688334/697006/-/vhbcnw/-/index.html</v>
      </c>
    </row>
    <row r="446" spans="1:4" ht="15">
      <c r="A446" s="3" t="s">
        <v>128</v>
      </c>
      <c r="B446" s="4" t="s">
        <v>192</v>
      </c>
      <c r="C446" s="4" t="s">
        <v>603</v>
      </c>
      <c r="D446" s="3" t="str">
        <f>HYPERLINK("http://www.monitor.co.ug/News/Insight/-/688338/878906/-/7faewm/-/index.html")</f>
        <v>http://www.monitor.co.ug/News/Insight/-/688338/878906/-/7faewm/-/index.html</v>
      </c>
    </row>
    <row r="447" spans="1:4" ht="15">
      <c r="A447" s="3" t="s">
        <v>128</v>
      </c>
      <c r="B447" s="4" t="s">
        <v>192</v>
      </c>
      <c r="C447" s="4" t="s">
        <v>637</v>
      </c>
      <c r="D447" s="3" t="str">
        <f>HYPERLINK("http://www.monitor.co.ug/News/National/-/688334/879186/-/wja5yn/-/index.html")</f>
        <v>http://www.monitor.co.ug/News/National/-/688334/879186/-/wja5yn/-/index.html</v>
      </c>
    </row>
    <row r="448" spans="1:4" ht="15">
      <c r="A448" s="3" t="s">
        <v>128</v>
      </c>
      <c r="B448" s="4" t="s">
        <v>234</v>
      </c>
      <c r="C448" s="4" t="s">
        <v>562</v>
      </c>
      <c r="D448" s="3" t="str">
        <f>HYPERLINK("http://www.monitor.co.ug/News/National/-/688334/1124606/-/c3y7k4z/-/index.html")</f>
        <v>http://www.monitor.co.ug/News/National/-/688334/1124606/-/c3y7k4z/-/index.html</v>
      </c>
    </row>
    <row r="449" spans="1:4" ht="15">
      <c r="A449" s="3" t="s">
        <v>128</v>
      </c>
      <c r="B449" s="4" t="s">
        <v>297</v>
      </c>
      <c r="C449" s="4" t="s">
        <v>128</v>
      </c>
      <c r="D449" s="3" t="str">
        <f>HYPERLINK("http://www.monitor.co.ug/News/National/153-000-affected-by-disasters--Red-Cross/-/688334/1427084/-/sd7xt3/-/index.html")</f>
        <v>http://www.monitor.co.ug/News/National/153-000-affected-by-disasters--Red-Cross/-/688334/1427084/-/sd7xt3/-/index.html</v>
      </c>
    </row>
    <row r="450" spans="1:4" ht="15">
      <c r="A450" s="3" t="s">
        <v>128</v>
      </c>
      <c r="B450" s="4" t="s">
        <v>61</v>
      </c>
      <c r="C450" s="4" t="s">
        <v>128</v>
      </c>
      <c r="D450" s="3" t="str">
        <f>HYPERLINK("http://www.monitor.co.ug/News/National/Kiwanuka-reads-tax-filled-budget/-/688334/1882436/-/hbajbhz/-/index.html")</f>
        <v>http://www.monitor.co.ug/News/National/Kiwanuka-reads-tax-filled-budget/-/688334/1882436/-/hbajbhz/-/index.html</v>
      </c>
    </row>
    <row r="451" spans="1:4" ht="15">
      <c r="A451" s="3" t="s">
        <v>128</v>
      </c>
      <c r="B451" s="4" t="s">
        <v>178</v>
      </c>
      <c r="C451" s="4" t="s">
        <v>647</v>
      </c>
      <c r="D451" s="3" t="str">
        <f>HYPERLINK("http://www.monitor.co.ug/OpEd/Commentary/-/689364/718554/-/b5buclz/-/index.html")</f>
        <v>http://www.monitor.co.ug/OpEd/Commentary/-/689364/718554/-/b5buclz/-/index.html</v>
      </c>
    </row>
    <row r="452" spans="1:4" ht="15">
      <c r="A452" s="3" t="s">
        <v>128</v>
      </c>
      <c r="B452" s="4" t="s">
        <v>262</v>
      </c>
      <c r="C452" s="4" t="s">
        <v>128</v>
      </c>
      <c r="D452" s="3" t="str">
        <f>HYPERLINK("http://www.monitor.co.ug/News/National/-/688334/1236360/-/bj8lhxz/-/index.html")</f>
        <v>http://www.monitor.co.ug/News/National/-/688334/1236360/-/bj8lhxz/-/index.html</v>
      </c>
    </row>
    <row r="453" spans="1:4" ht="15">
      <c r="A453" s="3" t="s">
        <v>128</v>
      </c>
      <c r="B453" s="4" t="s">
        <v>352</v>
      </c>
      <c r="C453" s="4" t="s">
        <v>563</v>
      </c>
      <c r="D453" s="3" t="str">
        <f>HYPERLINK("http://www.monitor.co.ug/News/National/Girls--more-likely-to-die-in-disasters-than-boys-/-/688334/2032134/-/o55gyu/-/index.html")</f>
        <v>http://www.monitor.co.ug/News/National/Girls--more-likely-to-die-in-disasters-than-boys-/-/688334/2032134/-/o55gyu/-/index.html</v>
      </c>
    </row>
    <row r="454" spans="1:4" ht="15">
      <c r="A454" s="3" t="s">
        <v>128</v>
      </c>
      <c r="B454" s="4" t="s">
        <v>320</v>
      </c>
      <c r="C454" s="4" t="s">
        <v>680</v>
      </c>
      <c r="D454" s="3" t="str">
        <f>HYPERLINK("http://www.monitor.co.ug/News/National/City-works-on-snail-pace---survey/-/688334/1620288/-/92ld6cz/-/index.html")</f>
        <v>http://www.monitor.co.ug/News/National/City-works-on-snail-pace---survey/-/688334/1620288/-/92ld6cz/-/index.html</v>
      </c>
    </row>
    <row r="455" spans="1:4" ht="15">
      <c r="A455" s="3" t="s">
        <v>128</v>
      </c>
      <c r="B455" s="4" t="s">
        <v>63</v>
      </c>
      <c r="C455" s="4" t="s">
        <v>128</v>
      </c>
      <c r="D455" s="3" t="str">
        <f>HYPERLINK("http://www.monitor.co.ug/Business/Floods-leave-wetland-developers-in-losses/-/688322/2073172/-/tbttl4/-/index.html")</f>
        <v>http://www.monitor.co.ug/Business/Floods-leave-wetland-developers-in-losses/-/688322/2073172/-/tbttl4/-/index.html</v>
      </c>
    </row>
    <row r="456" spans="1:4" ht="15">
      <c r="A456" s="3" t="s">
        <v>128</v>
      </c>
      <c r="B456" s="4" t="s">
        <v>157</v>
      </c>
      <c r="C456" s="4" t="s">
        <v>128</v>
      </c>
      <c r="D456" s="3" t="str">
        <f>HYPERLINK("http://www.monitor.co.ug/News/Education/-/688336/728960/-/10egjnx/-/index.html")</f>
        <v>http://www.monitor.co.ug/News/Education/-/688336/728960/-/10egjnx/-/index.html</v>
      </c>
    </row>
    <row r="457" spans="1:4" ht="15">
      <c r="A457" s="3" t="s">
        <v>128</v>
      </c>
      <c r="B457" s="4" t="s">
        <v>142</v>
      </c>
      <c r="C457" s="4" t="s">
        <v>627</v>
      </c>
      <c r="D457" s="3" t="str">
        <f>HYPERLINK("http://www.newvision.co.ug/news/497641-kampala-divisions-should-be-autonomous-takuba.html")</f>
        <v>http://www.newvision.co.ug/news/497641-kampala-divisions-should-be-autonomous-takuba.html</v>
      </c>
    </row>
    <row r="458" spans="1:4" ht="15">
      <c r="A458" s="3" t="s">
        <v>128</v>
      </c>
      <c r="B458" s="4" t="s">
        <v>339</v>
      </c>
      <c r="C458" s="4" t="s">
        <v>562</v>
      </c>
      <c r="D458" s="3" t="str">
        <f>HYPERLINK("http://www.monitor.co.ug/Magazines/HomesandProperty/Namanve-and-Ssonde-become-more-attractive/-/689858/1852476/-/61f870z/-/index.html")</f>
        <v>http://www.monitor.co.ug/Magazines/HomesandProperty/Namanve-and-Ssonde-become-more-attractive/-/689858/1852476/-/61f870z/-/index.html</v>
      </c>
    </row>
    <row r="459" spans="1:4" ht="15">
      <c r="A459" s="3" t="s">
        <v>128</v>
      </c>
      <c r="B459" s="4" t="s">
        <v>145</v>
      </c>
      <c r="C459" s="4" t="s">
        <v>629</v>
      </c>
      <c r="D459" s="3" t="str">
        <f>HYPERLINK("http://www.newvision.co.ug/news/489387-kyambogo-protests-car-depot-construction.html")</f>
        <v>http://www.newvision.co.ug/news/489387-kyambogo-protests-car-depot-construction.html</v>
      </c>
    </row>
    <row r="460" spans="1:4" ht="15">
      <c r="A460" s="3" t="s">
        <v>128</v>
      </c>
      <c r="B460" s="4" t="s">
        <v>376</v>
      </c>
      <c r="C460" s="4" t="s">
        <v>584</v>
      </c>
      <c r="D460" s="3" t="str">
        <f>HYPERLINK("http://www.monitor.co.ug/News/National/Artistes-in-drive-to-fight-maternal-health-issues/-/688334/2419084/-/mjq1mdz/-/index.html")</f>
        <v>http://www.monitor.co.ug/News/National/Artistes-in-drive-to-fight-maternal-health-issues/-/688334/2419084/-/mjq1mdz/-/index.html</v>
      </c>
    </row>
    <row r="461" spans="1:4" ht="15">
      <c r="A461" s="3" t="s">
        <v>128</v>
      </c>
      <c r="B461" s="4" t="s">
        <v>115</v>
      </c>
      <c r="C461" s="4" t="s">
        <v>128</v>
      </c>
      <c r="D461" s="3" t="str">
        <f>HYPERLINK("http://www.newvision.co.ug/news/1241-two-killed-in-kampala-floods.html")</f>
        <v>http://www.newvision.co.ug/news/1241-two-killed-in-kampala-floods.html</v>
      </c>
    </row>
    <row r="462" spans="1:4" ht="15">
      <c r="A462" s="3" t="s">
        <v>128</v>
      </c>
      <c r="B462" s="4" t="s">
        <v>115</v>
      </c>
      <c r="C462" s="4" t="s">
        <v>128</v>
      </c>
      <c r="D462" s="3" t="str">
        <f>HYPERLINK("http://www.newvision.co.ug/news/316006-two-killed-in-kampala-floods.html")</f>
        <v>http://www.newvision.co.ug/news/316006-two-killed-in-kampala-floods.html</v>
      </c>
    </row>
    <row r="463" spans="1:4" ht="15">
      <c r="A463" s="3" t="s">
        <v>128</v>
      </c>
      <c r="B463" s="4" t="s">
        <v>115</v>
      </c>
      <c r="C463" s="4" t="s">
        <v>128</v>
      </c>
      <c r="D463" s="3" t="str">
        <f>HYPERLINK("http://www.monitor.co.ug/OpEd/OpEdColumnists/DanielKalinaki/-/878782/1236462/-/sh3rp2z/-/index.html")</f>
        <v>http://www.monitor.co.ug/OpEd/OpEdColumnists/DanielKalinaki/-/878782/1236462/-/sh3rp2z/-/index.html</v>
      </c>
    </row>
    <row r="464" spans="1:4" ht="15">
      <c r="A464" s="3" t="s">
        <v>128</v>
      </c>
      <c r="B464" s="4" t="s">
        <v>115</v>
      </c>
      <c r="C464" s="4" t="s">
        <v>658</v>
      </c>
      <c r="D464" s="3" t="str">
        <f>HYPERLINK("http://www.monitor.co.ug/News/National/-/688334/1236614/-/bj8j9vz/-/index.html")</f>
        <v>http://www.monitor.co.ug/News/National/-/688334/1236614/-/bj8j9vz/-/index.html</v>
      </c>
    </row>
    <row r="465" spans="1:4" ht="15">
      <c r="A465" s="3" t="s">
        <v>128</v>
      </c>
      <c r="B465" s="4" t="s">
        <v>115</v>
      </c>
      <c r="C465" s="4" t="s">
        <v>684</v>
      </c>
      <c r="D465" s="3" t="str">
        <f>HYPERLINK("http://www.monitor.co.ug/News/National/-/688334/1236580/-/bj8jv9z/-/index.html")</f>
        <v>http://www.monitor.co.ug/News/National/-/688334/1236580/-/bj8jv9z/-/index.html</v>
      </c>
    </row>
    <row r="466" spans="1:4" ht="15">
      <c r="A466" s="3" t="s">
        <v>128</v>
      </c>
      <c r="B466" s="4" t="s">
        <v>310</v>
      </c>
      <c r="C466" s="4" t="s">
        <v>563</v>
      </c>
      <c r="D466" s="3" t="str">
        <f>HYPERLINK("http://www.monitor.co.ug/News/National/How-the-NRM-party-won-Usuk-by-election/-/688334/1507444/-/lp11lk/-/index.html")</f>
        <v>http://www.monitor.co.ug/News/National/How-the-NRM-party-won-Usuk-by-election/-/688334/1507444/-/lp11lk/-/index.html</v>
      </c>
    </row>
    <row r="467" spans="1:4" ht="15">
      <c r="A467" s="3" t="s">
        <v>128</v>
      </c>
      <c r="B467" s="4" t="s">
        <v>68</v>
      </c>
      <c r="C467" s="4" t="s">
        <v>128</v>
      </c>
      <c r="D467" s="3" t="str">
        <f>HYPERLINK("http://www.monitor.co.ug/News/National/-/688334/1090150/-/cit24dz/-/index.html")</f>
        <v>http://www.monitor.co.ug/News/National/-/688334/1090150/-/cit24dz/-/index.html</v>
      </c>
    </row>
    <row r="468" spans="1:4" ht="15">
      <c r="A468" s="3" t="s">
        <v>128</v>
      </c>
      <c r="B468" s="4" t="s">
        <v>388</v>
      </c>
      <c r="C468" s="4" t="s">
        <v>722</v>
      </c>
      <c r="D468" s="3" t="str">
        <f>HYPERLINK("http://www.monitor.co.ug/Business/Prosper/Character-traits-of-slum-urbanism/-/688616/2557222/-/nluhhoz/-/index.html")</f>
        <v>http://www.monitor.co.ug/Business/Prosper/Character-traits-of-slum-urbanism/-/688616/2557222/-/nluhhoz/-/index.html</v>
      </c>
    </row>
    <row r="469" spans="1:4" ht="15">
      <c r="A469" s="3" t="s">
        <v>128</v>
      </c>
      <c r="B469" s="4" t="s">
        <v>158</v>
      </c>
      <c r="C469" s="4" t="s">
        <v>128</v>
      </c>
      <c r="D469" s="3" t="str">
        <f>HYPERLINK("http://www.monitor.co.ug/OpEd/Letters/-/806314/729048/-/3gx0kuz/-/index.html")</f>
        <v>http://www.monitor.co.ug/OpEd/Letters/-/806314/729048/-/3gx0kuz/-/index.html</v>
      </c>
    </row>
    <row r="470" spans="1:4" ht="15">
      <c r="A470" s="3" t="s">
        <v>128</v>
      </c>
      <c r="B470" s="4" t="s">
        <v>360</v>
      </c>
      <c r="C470" s="4" t="s">
        <v>128</v>
      </c>
      <c r="D470" s="3" t="str">
        <f>HYPERLINK("http://www.monitor.co.ug/Magazines/Life/Floods-are-upon-us/-/689856/2207834/-/xeyxjcz/-/index.html")</f>
        <v>http://www.monitor.co.ug/Magazines/Life/Floods-are-upon-us/-/689856/2207834/-/xeyxjcz/-/index.html</v>
      </c>
    </row>
    <row r="471" spans="1:4" ht="15">
      <c r="A471" s="3" t="s">
        <v>128</v>
      </c>
      <c r="B471" s="4" t="s">
        <v>390</v>
      </c>
      <c r="C471" s="4" t="s">
        <v>128</v>
      </c>
      <c r="D471" s="3" t="str">
        <f>HYPERLINK("http://www.monitor.co.ug/SpecialReports/Counting-cost---boda-boda--accidents/-/688342/2624920/-/tntm9i/-/index.html")</f>
        <v>http://www.monitor.co.ug/SpecialReports/Counting-cost---boda-boda--accidents/-/688342/2624920/-/tntm9i/-/index.html</v>
      </c>
    </row>
    <row r="472" spans="1:4" ht="15">
      <c r="A472" s="3" t="s">
        <v>128</v>
      </c>
      <c r="B472" s="4" t="s">
        <v>193</v>
      </c>
      <c r="C472" s="4" t="s">
        <v>603</v>
      </c>
      <c r="D472" s="3" t="str">
        <f>HYPERLINK("http://www.newvision.co.ug/news/623255-kampala-teens-donate-to-bududa.html")</f>
        <v>http://www.newvision.co.ug/news/623255-kampala-teens-donate-to-bududa.html</v>
      </c>
    </row>
    <row r="473" spans="1:4" ht="15">
      <c r="A473" s="3" t="s">
        <v>128</v>
      </c>
      <c r="B473" s="4" t="s">
        <v>332</v>
      </c>
      <c r="C473" s="4" t="s">
        <v>128</v>
      </c>
      <c r="D473" s="3" t="str">
        <f>HYPERLINK("http://www.monitor.co.ug/News/National/EU-to-withdraw-from-Awoja-bridge-project/-/688334/1720994/-/gsx18o/-/index.html")</f>
        <v>http://www.monitor.co.ug/News/National/EU-to-withdraw-from-Awoja-bridge-project/-/688334/1720994/-/gsx18o/-/index.html</v>
      </c>
    </row>
    <row r="474" spans="1:4" ht="15">
      <c r="A474" s="3" t="s">
        <v>128</v>
      </c>
      <c r="B474" s="4" t="s">
        <v>171</v>
      </c>
      <c r="C474" s="4" t="s">
        <v>128</v>
      </c>
      <c r="D474" s="3" t="str">
        <f>HYPERLINK("http://www.monitor.co.ug/Business/Commodities/-/688610/703782/-/gth3vq/-/index.html")</f>
        <v>http://www.monitor.co.ug/Business/Commodities/-/688610/703782/-/gth3vq/-/index.html</v>
      </c>
    </row>
    <row r="475" spans="1:4" ht="15">
      <c r="A475" s="3" t="s">
        <v>128</v>
      </c>
      <c r="B475" s="4" t="s">
        <v>19</v>
      </c>
      <c r="C475" s="4" t="s">
        <v>128</v>
      </c>
      <c r="D475" s="3" t="str">
        <f>HYPERLINK("http://www.monitor.co.ug/OpEd/Letters/-/806314/737970/-/3gcn7cz/-/index.html")</f>
        <v>http://www.monitor.co.ug/OpEd/Letters/-/806314/737970/-/3gcn7cz/-/index.html</v>
      </c>
    </row>
    <row r="476" spans="1:4" ht="15">
      <c r="A476" s="3" t="s">
        <v>128</v>
      </c>
      <c r="B476" s="4" t="s">
        <v>208</v>
      </c>
      <c r="C476" s="4" t="s">
        <v>605</v>
      </c>
      <c r="D476" s="3" t="str">
        <f>HYPERLINK("http://www.newvision.co.ug/news/619150-mudslides-ravage-mbale-and-kanungu.html")</f>
        <v>http://www.newvision.co.ug/news/619150-mudslides-ravage-mbale-and-kanungu.html</v>
      </c>
    </row>
    <row r="477" spans="1:4" ht="15">
      <c r="A477" s="3" t="s">
        <v>128</v>
      </c>
      <c r="B477" s="4" t="s">
        <v>246</v>
      </c>
      <c r="C477" s="4" t="s">
        <v>678</v>
      </c>
      <c r="D477" s="3" t="str">
        <f>HYPERLINK("http://www.newvision.co.ug/news/322817-govt-orders-encroachers-off-lubigi-wetland.html")</f>
        <v>http://www.newvision.co.ug/news/322817-govt-orders-encroachers-off-lubigi-wetland.html</v>
      </c>
    </row>
    <row r="478" spans="1:4" ht="15">
      <c r="A478" s="3" t="s">
        <v>128</v>
      </c>
      <c r="B478" s="4" t="s">
        <v>256</v>
      </c>
      <c r="C478" s="4" t="s">
        <v>128</v>
      </c>
      <c r="D478" s="3" t="str">
        <f>HYPERLINK("http://www.monitor.co.ug/Magazines/Full-Woman/-/689842/1201114/-/13ujh6r/-/index.html")</f>
        <v>http://www.monitor.co.ug/Magazines/Full-Woman/-/689842/1201114/-/13ujh6r/-/index.html</v>
      </c>
    </row>
    <row r="479" spans="1:4" ht="15">
      <c r="A479" s="3" t="s">
        <v>128</v>
      </c>
      <c r="B479" s="4" t="s">
        <v>342</v>
      </c>
      <c r="C479" s="4" t="s">
        <v>128</v>
      </c>
      <c r="D479" s="3" t="str">
        <f>HYPERLINK("http://www.monitor.co.ug/OpEd/Letters/Here-is-how-a-decent-city-operates/-/806314/1915982/-/8yhqp2/-/index.html")</f>
        <v>http://www.monitor.co.ug/OpEd/Letters/Here-is-how-a-decent-city-operates/-/806314/1915982/-/8yhqp2/-/index.html</v>
      </c>
    </row>
    <row r="480" spans="1:4" ht="15">
      <c r="A480" s="3" t="s">
        <v>128</v>
      </c>
      <c r="B480" s="4" t="s">
        <v>167</v>
      </c>
      <c r="C480" s="4" t="s">
        <v>563</v>
      </c>
      <c r="D480" s="3" t="str">
        <f>HYPERLINK("http://www.monitor.co.ug/News/Education/-/688336/747288/-/10fnrp7/-/index.html")</f>
        <v>http://www.monitor.co.ug/News/Education/-/688336/747288/-/10fnrp7/-/index.html</v>
      </c>
    </row>
    <row r="481" spans="1:4" ht="15">
      <c r="A481" s="3" t="s">
        <v>128</v>
      </c>
      <c r="B481" s="4" t="s">
        <v>263</v>
      </c>
      <c r="C481" s="4" t="s">
        <v>128</v>
      </c>
      <c r="D481" s="3" t="str">
        <f>HYPERLINK("http://www.newvision.co.ug/news/315922-colleagues-mourn-barclayÃ¢-s-bank-cashier.html")</f>
        <v>http://www.newvision.co.ug/news/315922-colleagues-mourn-barclayÃ¢-s-bank-cashier.html</v>
      </c>
    </row>
    <row r="482" spans="1:4" ht="15">
      <c r="A482" s="3" t="s">
        <v>128</v>
      </c>
      <c r="B482" s="4" t="s">
        <v>263</v>
      </c>
      <c r="C482" s="4" t="s">
        <v>128</v>
      </c>
      <c r="D482" s="3" t="str">
        <f>HYPERLINK("http://www.newvision.co.ug/news/1157-colleagues-mourn-barclayÃ¢-s-bank-cashier.html")</f>
        <v>http://www.newvision.co.ug/news/1157-colleagues-mourn-barclayÃ¢-s-bank-cashier.html</v>
      </c>
    </row>
    <row r="483" spans="1:4" ht="15">
      <c r="A483" s="3" t="s">
        <v>128</v>
      </c>
      <c r="B483" s="4" t="s">
        <v>263</v>
      </c>
      <c r="C483" s="4" t="s">
        <v>562</v>
      </c>
      <c r="D483" s="3" t="str">
        <f>HYPERLINK("http://www.monitor.co.ug/OpEd/Editorial/-/689360/1237048/-/a15ijm/-/index.html")</f>
        <v>http://www.monitor.co.ug/OpEd/Editorial/-/689360/1237048/-/a15ijm/-/index.html</v>
      </c>
    </row>
    <row r="484" spans="1:4" ht="15">
      <c r="A484" s="3" t="s">
        <v>128</v>
      </c>
      <c r="B484" s="4" t="s">
        <v>263</v>
      </c>
      <c r="C484" s="4" t="s">
        <v>563</v>
      </c>
      <c r="D484" s="3" t="str">
        <f>HYPERLINK("http://www.monitor.co.ug/artsculture/Heart-to-Heart/-/691230/1237320/-/m1msiez/-/index.html")</f>
        <v>http://www.monitor.co.ug/artsculture/Heart-to-Heart/-/691230/1237320/-/m1msiez/-/index.html</v>
      </c>
    </row>
    <row r="485" spans="1:4" ht="15">
      <c r="A485" s="3" t="s">
        <v>128</v>
      </c>
      <c r="B485" s="4" t="s">
        <v>311</v>
      </c>
      <c r="C485" s="4" t="s">
        <v>697</v>
      </c>
      <c r="D485" s="3" t="str">
        <f>HYPERLINK("http://www.monitor.co.ug/OpEd/OpEdColumnists/BernardTabaire/UG-50--Kampala-went-to-the-sewers--and-Uganda-followed/-/878688/1507800/-/2r4ixbz/-/index.html")</f>
        <v>http://www.monitor.co.ug/OpEd/OpEdColumnists/BernardTabaire/UG-50--Kampala-went-to-the-sewers--and-Uganda-followed/-/878688/1507800/-/2r4ixbz/-/index.html</v>
      </c>
    </row>
    <row r="486" spans="1:4" ht="15">
      <c r="A486" s="3" t="s">
        <v>128</v>
      </c>
      <c r="B486" s="4" t="s">
        <v>348</v>
      </c>
      <c r="C486" s="4" t="s">
        <v>128</v>
      </c>
      <c r="D486" s="3" t="str">
        <f>HYPERLINK("http://www.monitor.co.ug/artsculture/Reviews/When-crocodiles-camp-and-terrorise-villages/-/691232/1993934/-/4hylbb/-/index.html")</f>
        <v>http://www.monitor.co.ug/artsculture/Reviews/When-crocodiles-camp-and-terrorise-villages/-/691232/1993934/-/4hylbb/-/index.html</v>
      </c>
    </row>
    <row r="487" spans="1:4" ht="15">
      <c r="A487" s="3" t="s">
        <v>128</v>
      </c>
      <c r="B487" s="4" t="s">
        <v>135</v>
      </c>
      <c r="C487" s="4" t="s">
        <v>128</v>
      </c>
      <c r="D487" s="3" t="str">
        <f>HYPERLINK("http://www.newvision.co.ug/news/584464-greenboat-sues-kcc-over-sh3b.html")</f>
        <v>http://www.newvision.co.ug/news/584464-greenboat-sues-kcc-over-sh3b.html</v>
      </c>
    </row>
    <row r="488" spans="1:4" ht="15">
      <c r="A488" s="3" t="s">
        <v>128</v>
      </c>
      <c r="B488" s="4" t="s">
        <v>382</v>
      </c>
      <c r="C488" s="4" t="s">
        <v>128</v>
      </c>
      <c r="D488" s="3" t="str">
        <f>HYPERLINK("http://www.monitor.co.ug/Business/Markets/KCCA-finalising-plans-for-municipal-bond---official/-/688606/2489180/-/12g3um2z/-/index.html")</f>
        <v>http://www.monitor.co.ug/Business/Markets/KCCA-finalising-plans-for-municipal-bond---official/-/688606/2489180/-/12g3um2z/-/index.html</v>
      </c>
    </row>
    <row r="489" spans="1:4" ht="15">
      <c r="A489" s="3" t="s">
        <v>128</v>
      </c>
      <c r="B489" s="4" t="s">
        <v>141</v>
      </c>
      <c r="C489" s="4" t="s">
        <v>625</v>
      </c>
      <c r="D489" s="3" t="str">
        <f>HYPERLINK("http://www.newvision.co.ug/news/456077-is-your-house-flood-protected.html")</f>
        <v>http://www.newvision.co.ug/news/456077-is-your-house-flood-protected.html</v>
      </c>
    </row>
    <row r="490" spans="1:4" ht="15">
      <c r="A490" s="3" t="s">
        <v>128</v>
      </c>
      <c r="B490" s="4" t="s">
        <v>272</v>
      </c>
      <c r="C490" s="4" t="s">
        <v>128</v>
      </c>
      <c r="D490" s="3" t="str">
        <f>HYPERLINK("http://www.monitor.co.ug/OpEd/Commentary/-/689364/1274370/-/12p0d4tz/-/index.html")</f>
        <v>http://www.monitor.co.ug/OpEd/Commentary/-/689364/1274370/-/12p0d4tz/-/index.html</v>
      </c>
    </row>
    <row r="491" spans="1:4" ht="15">
      <c r="A491" s="3" t="s">
        <v>128</v>
      </c>
      <c r="B491" s="4" t="s">
        <v>272</v>
      </c>
      <c r="C491" s="4" t="s">
        <v>128</v>
      </c>
      <c r="D491" s="3" t="str">
        <f>HYPERLINK("http://www.monitor.co.ug/News/National/-/688334/1274424/-/bgssv0z/-/index.html")</f>
        <v>http://www.monitor.co.ug/News/National/-/688334/1274424/-/bgssv0z/-/index.html</v>
      </c>
    </row>
    <row r="492" spans="1:4" ht="15">
      <c r="A492" s="3" t="s">
        <v>128</v>
      </c>
      <c r="B492" s="4" t="s">
        <v>143</v>
      </c>
      <c r="C492" s="4" t="s">
        <v>128</v>
      </c>
      <c r="D492" s="3" t="str">
        <f>HYPERLINK("http://www.newvision.co.ug/news/497555-heavy-rains-expected-this-season.html")</f>
        <v>http://www.newvision.co.ug/news/497555-heavy-rains-expected-this-season.html</v>
      </c>
    </row>
    <row r="493" spans="1:4" ht="15">
      <c r="A493" s="3" t="s">
        <v>128</v>
      </c>
      <c r="B493" s="4" t="s">
        <v>194</v>
      </c>
      <c r="C493" s="4" t="s">
        <v>563</v>
      </c>
      <c r="D493" s="3" t="str">
        <f>HYPERLINK("http://www.newvision.co.ug/news/623205-govt-to-plant-trees-in-landslide-prone-areas.html")</f>
        <v>http://www.newvision.co.ug/news/623205-govt-to-plant-trees-in-landslide-prone-areas.html</v>
      </c>
    </row>
    <row r="494" spans="1:4" ht="15">
      <c r="A494" s="3" t="s">
        <v>128</v>
      </c>
      <c r="B494" s="4" t="s">
        <v>333</v>
      </c>
      <c r="C494" s="4" t="s">
        <v>128</v>
      </c>
      <c r="D494" s="3" t="str">
        <f>HYPERLINK("http://www.monitor.co.ug/News/National/Tullow-tried-to-pay-Museveni---lawyer/-/688334/1721994/-/vtisgpz/-/index.html")</f>
        <v>http://www.monitor.co.ug/News/National/Tullow-tried-to-pay-Museveni---lawyer/-/688334/1721994/-/vtisgpz/-/index.html</v>
      </c>
    </row>
    <row r="495" spans="1:4" ht="15">
      <c r="A495" s="3" t="s">
        <v>128</v>
      </c>
      <c r="B495" s="4" t="s">
        <v>367</v>
      </c>
      <c r="C495" s="4" t="s">
        <v>603</v>
      </c>
      <c r="D495" s="3" t="str">
        <f>HYPERLINK("http://www.newvision.co.ug/news/654641-rainy-season-nema-warns-of-severe-disasters.html")</f>
        <v>http://www.newvision.co.ug/news/654641-rainy-season-nema-warns-of-severe-disasters.html</v>
      </c>
    </row>
    <row r="496" spans="1:4" ht="15">
      <c r="A496" s="3" t="s">
        <v>128</v>
      </c>
      <c r="B496" s="4" t="s">
        <v>367</v>
      </c>
      <c r="C496" s="4" t="s">
        <v>713</v>
      </c>
      <c r="D496" s="3" t="str">
        <f>HYPERLINK("http://www.monitor.co.ug/News/National/Museveni-tells-off-Lukwago-in-city-tour/-/688334/2284166/-/mtmwia/-/index.html")</f>
        <v>http://www.monitor.co.ug/News/National/Museveni-tells-off-Lukwago-in-city-tour/-/688334/2284166/-/mtmwia/-/index.html</v>
      </c>
    </row>
    <row r="497" spans="1:4" ht="15">
      <c r="A497" s="3" t="s">
        <v>128</v>
      </c>
      <c r="B497" s="4" t="s">
        <v>96</v>
      </c>
      <c r="C497" s="4" t="s">
        <v>570</v>
      </c>
      <c r="D497" s="3" t="str">
        <f>HYPERLINK("http://www.newvision.co.ug/news/619112-kabale-landslide-kills-university-student.html")</f>
        <v>http://www.newvision.co.ug/news/619112-kabale-landslide-kills-university-student.html</v>
      </c>
    </row>
    <row r="498" spans="1:4" ht="15">
      <c r="A498" s="3" t="s">
        <v>128</v>
      </c>
      <c r="B498" s="4" t="s">
        <v>399</v>
      </c>
      <c r="C498" s="4" t="s">
        <v>128</v>
      </c>
      <c r="D498" s="3" t="str">
        <f>HYPERLINK("http://www.monitor.co.ug/Magazines/PeoplePower/Does-government-need-to-buy-back-Bujagali-/-/689844/2718260/-/ndu1k1/-/index.html")</f>
        <v>http://www.monitor.co.ug/Magazines/PeoplePower/Does-government-need-to-buy-back-Bujagali-/-/689844/2718260/-/ndu1k1/-/index.html</v>
      </c>
    </row>
    <row r="499" spans="1:4" ht="15">
      <c r="A499" s="3" t="s">
        <v>128</v>
      </c>
      <c r="B499" s="4" t="s">
        <v>253</v>
      </c>
      <c r="C499" s="4" t="s">
        <v>128</v>
      </c>
      <c r="D499" s="3" t="str">
        <f>HYPERLINK("http://www.monitor.co.ug/News/National/-/688334/1184230/-/c0a29kz/-/index.html")</f>
        <v>http://www.monitor.co.ug/News/National/-/688334/1184230/-/c0a29kz/-/index.html</v>
      </c>
    </row>
    <row r="500" spans="1:4" ht="15">
      <c r="A500" s="3" t="s">
        <v>128</v>
      </c>
      <c r="B500" s="4" t="s">
        <v>82</v>
      </c>
      <c r="C500" s="4" t="s">
        <v>128</v>
      </c>
      <c r="D500" s="3" t="str">
        <f>HYPERLINK("http://www.monitor.co.ug/News/National/-/688334/1202222/-/bl61ciz/-/index.html")</f>
        <v>http://www.monitor.co.ug/News/National/-/688334/1202222/-/bl61ciz/-/index.html</v>
      </c>
    </row>
    <row r="501" spans="1:4" ht="15">
      <c r="A501" s="3" t="s">
        <v>128</v>
      </c>
      <c r="B501" s="4" t="s">
        <v>375</v>
      </c>
      <c r="C501" s="4" t="s">
        <v>128</v>
      </c>
      <c r="D501" s="3" t="str">
        <f>HYPERLINK("http://www.monitor.co.ug/News/National/Government-blacklists-90-companies/-/688334/2386662/-/12v2moo/-/index.html")</f>
        <v>http://www.monitor.co.ug/News/National/Government-blacklists-90-companies/-/688334/2386662/-/12v2moo/-/index.html</v>
      </c>
    </row>
    <row r="502" spans="1:4" ht="15">
      <c r="A502" s="3" t="s">
        <v>128</v>
      </c>
      <c r="B502" s="4" t="s">
        <v>134</v>
      </c>
      <c r="C502" s="4" t="s">
        <v>128</v>
      </c>
      <c r="D502" s="3" t="str">
        <f>HYPERLINK("http://www.newvision.co.ug/news/588786-culvert-installation-reduces-city-flooding.html")</f>
        <v>http://www.newvision.co.ug/news/588786-culvert-installation-reduces-city-flooding.html</v>
      </c>
    </row>
    <row r="503" spans="1:4" ht="15">
      <c r="A503" s="3" t="s">
        <v>128</v>
      </c>
      <c r="B503" s="4" t="s">
        <v>219</v>
      </c>
      <c r="C503" s="4" t="s">
        <v>128</v>
      </c>
      <c r="D503" s="3" t="str">
        <f>HYPERLINK("http://www.monitor.co.ug/Business/Prosper/-/688616/977532/-/iwlnhdz/-/index.html")</f>
        <v>http://www.monitor.co.ug/Business/Prosper/-/688616/977532/-/iwlnhdz/-/index.html</v>
      </c>
    </row>
    <row r="504" spans="1:4" ht="15">
      <c r="A504" s="3" t="s">
        <v>128</v>
      </c>
      <c r="B504" s="4" t="s">
        <v>50</v>
      </c>
      <c r="C504" s="4" t="s">
        <v>128</v>
      </c>
      <c r="D504" s="3" t="str">
        <f>HYPERLINK("http://www.monitor.co.ug/Business/EU-lines-Shs183-billion-to--expand-Northern-Bypass/-/688322/1481072/-/ob866nz/-/index.html")</f>
        <v>http://www.monitor.co.ug/Business/EU-lines-Shs183-billion-to--expand-Northern-Bypass/-/688322/1481072/-/ob866nz/-/index.html</v>
      </c>
    </row>
    <row r="505" spans="1:4" ht="15">
      <c r="A505" s="3" t="s">
        <v>128</v>
      </c>
      <c r="B505" s="4" t="s">
        <v>345</v>
      </c>
      <c r="C505" s="4" t="s">
        <v>618</v>
      </c>
      <c r="D505" s="3" t="str">
        <f>HYPERLINK("http://www.monitor.co.ug/OpEd/Letters/Create-satellite-villages-to-curb-landslides--/-/806314/1956258/-/n2hxab/-/index.html")</f>
        <v>http://www.monitor.co.ug/OpEd/Letters/Create-satellite-villages-to-curb-landslides--/-/806314/1956258/-/n2hxab/-/index.html</v>
      </c>
    </row>
    <row r="506" spans="1:4" ht="15">
      <c r="A506" s="3" t="s">
        <v>128</v>
      </c>
      <c r="B506" s="4" t="s">
        <v>377</v>
      </c>
      <c r="C506" s="4" t="s">
        <v>563</v>
      </c>
      <c r="D506" s="3" t="str">
        <f>HYPERLINK("http://www.monitor.co.ug/Magazines/Life/What-you-didn-t-know-about--Baha-i/-/689856/2421216/-/15tyt/-/index.html")</f>
        <v>http://www.monitor.co.ug/Magazines/Life/What-you-didn-t-know-about--Baha-i/-/689856/2421216/-/15tyt/-/index.html</v>
      </c>
    </row>
    <row r="507" spans="1:4" ht="15">
      <c r="A507" s="3" t="s">
        <v>128</v>
      </c>
      <c r="B507" s="4" t="s">
        <v>28</v>
      </c>
      <c r="C507" s="4" t="s">
        <v>128</v>
      </c>
      <c r="D507" s="3" t="str">
        <f>HYPERLINK("http://www.monitor.co.ug/Business/Commodities/-/688610/750708/-/gwhp7v/-/index.html")</f>
        <v>http://www.monitor.co.ug/Business/Commodities/-/688610/750708/-/gwhp7v/-/index.html</v>
      </c>
    </row>
    <row r="508" spans="1:4" ht="15">
      <c r="A508" s="3" t="s">
        <v>128</v>
      </c>
      <c r="B508" s="4" t="s">
        <v>264</v>
      </c>
      <c r="C508" s="4" t="s">
        <v>128</v>
      </c>
      <c r="D508" s="3" t="str">
        <f>HYPERLINK("http://www.monitor.co.ug/SpecialReports/-/688342/1237618/-/vc6kks/-/index.html")</f>
        <v>http://www.monitor.co.ug/SpecialReports/-/688342/1237618/-/vc6kks/-/index.html</v>
      </c>
    </row>
    <row r="509" spans="1:4" ht="15">
      <c r="A509" s="3" t="s">
        <v>128</v>
      </c>
      <c r="B509" s="4" t="s">
        <v>326</v>
      </c>
      <c r="C509" s="4" t="s">
        <v>128</v>
      </c>
      <c r="D509" s="3" t="str">
        <f>HYPERLINK("http://www.monitor.co.ug/News/National/Leaders-criticise-KCCA-s-waste-collection-method/-/688334/1668856/-/a2ook/-/index.html")</f>
        <v>http://www.monitor.co.ug/News/National/Leaders-criticise-KCCA-s-waste-collection-method/-/688334/1668856/-/a2ook/-/index.html</v>
      </c>
    </row>
    <row r="510" spans="1:4" ht="15">
      <c r="A510" s="3" t="s">
        <v>128</v>
      </c>
      <c r="B510" s="4" t="s">
        <v>326</v>
      </c>
      <c r="C510" s="4" t="s">
        <v>128</v>
      </c>
      <c r="D510" s="3" t="str">
        <f>HYPERLINK("http://www.monitor.co.ug/News/National/Leaders-criticise-KCCA-s-waste-collection-method/-/688334/1668858/-/a2oom/-/index.html")</f>
        <v>http://www.monitor.co.ug/News/National/Leaders-criticise-KCCA-s-waste-collection-method/-/688334/1668858/-/a2oom/-/index.html</v>
      </c>
    </row>
    <row r="511" spans="1:4" ht="15">
      <c r="A511" s="3" t="s">
        <v>128</v>
      </c>
      <c r="B511" s="4" t="s">
        <v>131</v>
      </c>
      <c r="C511" s="4" t="s">
        <v>621</v>
      </c>
      <c r="D511" s="3" t="str">
        <f>HYPERLINK("http://www.newvision.co.ug/news/383358-kampala-markets-are-a-health-risk.html")</f>
        <v>http://www.newvision.co.ug/news/383358-kampala-markets-are-a-health-risk.html</v>
      </c>
    </row>
    <row r="512" spans="1:4" ht="15">
      <c r="A512" s="3" t="s">
        <v>128</v>
      </c>
      <c r="B512" s="4" t="s">
        <v>131</v>
      </c>
      <c r="C512" s="4" t="s">
        <v>621</v>
      </c>
      <c r="D512" s="3" t="str">
        <f>HYPERLINK("http://www.newvision.co.ug/news/357777-kampala-markets-are-a-health-risk.html")</f>
        <v>http://www.newvision.co.ug/news/357777-kampala-markets-are-a-health-risk.html</v>
      </c>
    </row>
    <row r="513" spans="1:4" ht="15">
      <c r="A513" s="3" t="s">
        <v>128</v>
      </c>
      <c r="B513" s="4" t="s">
        <v>181</v>
      </c>
      <c r="C513" s="4" t="s">
        <v>128</v>
      </c>
      <c r="D513" s="3" t="str">
        <f>HYPERLINK("http://www.monitor.co.ug/OpEd/Letters/-/806314/824522/-/2wxmkmz/-/index.html")</f>
        <v>http://www.monitor.co.ug/OpEd/Letters/-/806314/824522/-/2wxmkmz/-/index.html</v>
      </c>
    </row>
    <row r="514" spans="1:4" ht="15">
      <c r="A514" s="3" t="s">
        <v>128</v>
      </c>
      <c r="B514" s="4" t="s">
        <v>93</v>
      </c>
      <c r="C514" s="4" t="s">
        <v>128</v>
      </c>
      <c r="D514" s="3" t="str">
        <f>HYPERLINK("http://www.monitor.co.ug/Business/Commodities/World-Bank-approves-Shs2-3-trillion-for-Uganda-s-key-sectors/-/688610/2560216/-/a33840z/-/index.html")</f>
        <v>http://www.monitor.co.ug/Business/Commodities/World-Bank-approves-Shs2-3-trillion-for-Uganda-s-key-sectors/-/688610/2560216/-/a33840z/-/index.html</v>
      </c>
    </row>
    <row r="515" spans="1:4" ht="15">
      <c r="A515" s="3" t="s">
        <v>128</v>
      </c>
      <c r="B515" s="4" t="s">
        <v>93</v>
      </c>
      <c r="C515" s="4" t="s">
        <v>654</v>
      </c>
      <c r="D515" s="3" t="str">
        <f>HYPERLINK("http://www.monitor.co.ug/Business/Auto/Beware-of--deadly--routes/-/688614/2559930/-/12muu3z/-/index.html")</f>
        <v>http://www.monitor.co.ug/Business/Auto/Beware-of--deadly--routes/-/688614/2559930/-/12muu3z/-/index.html</v>
      </c>
    </row>
    <row r="516" spans="1:4" ht="15">
      <c r="A516" s="3" t="s">
        <v>128</v>
      </c>
      <c r="B516" s="4" t="s">
        <v>195</v>
      </c>
      <c r="C516" s="4" t="s">
        <v>603</v>
      </c>
      <c r="D516" s="3" t="str">
        <f>HYPERLINK("http://www.newvision.co.ug/news/623067-young-starsÃ¢-hearts-bleed-for-bududa.html")</f>
        <v>http://www.newvision.co.ug/news/623067-young-starsÃ¢-hearts-bleed-for-bududa.html</v>
      </c>
    </row>
    <row r="517" spans="1:4" ht="15">
      <c r="A517" s="3" t="s">
        <v>128</v>
      </c>
      <c r="B517" s="4" t="s">
        <v>235</v>
      </c>
      <c r="C517" s="4" t="s">
        <v>128</v>
      </c>
      <c r="D517" s="3" t="str">
        <f>HYPERLINK("http://www.monitor.co.ug/OpEd/Commentary/-/689364/1128280/-/13c31t1z/-/index.html")</f>
        <v>http://www.monitor.co.ug/OpEd/Commentary/-/689364/1128280/-/13c31t1z/-/index.html</v>
      </c>
    </row>
    <row r="518" spans="1:4" ht="15">
      <c r="A518" s="3" t="s">
        <v>128</v>
      </c>
      <c r="B518" s="4" t="s">
        <v>363</v>
      </c>
      <c r="C518" s="4" t="s">
        <v>128</v>
      </c>
      <c r="D518" s="3" t="str">
        <f>HYPERLINK("http://www.monitor.co.ug/Magazines/HomesandProperty/Military-Barracks-zone--A-small-and-secure-zone/-/689858/2249100/-/13wn32pz/-/index.html")</f>
        <v>http://www.monitor.co.ug/Magazines/HomesandProperty/Military-Barracks-zone--A-small-and-secure-zone/-/689858/2249100/-/13wn32pz/-/index.html</v>
      </c>
    </row>
    <row r="519" spans="1:4" ht="15">
      <c r="A519" s="3" t="s">
        <v>128</v>
      </c>
      <c r="B519" s="4" t="s">
        <v>113</v>
      </c>
      <c r="C519" s="4" t="s">
        <v>658</v>
      </c>
      <c r="D519" s="3" t="str">
        <f>HYPERLINK("http://www.monitor.co.ug/OpEd/Commentary/-/689364/900992/-/a2xe3hz/-/index.html")</f>
        <v>http://www.monitor.co.ug/OpEd/Commentary/-/689364/900992/-/a2xe3hz/-/index.html</v>
      </c>
    </row>
    <row r="520" spans="1:4" ht="15">
      <c r="A520" s="3" t="s">
        <v>128</v>
      </c>
      <c r="B520" s="4" t="s">
        <v>241</v>
      </c>
      <c r="C520" s="4" t="s">
        <v>676</v>
      </c>
      <c r="D520" s="3" t="str">
        <f>HYPERLINK("http://www.monitor.co.ug/artsculture/Reviews/-/691232/1146338/-/r46pfz/-/index.html")</f>
        <v>http://www.monitor.co.ug/artsculture/Reviews/-/691232/1146338/-/r46pfz/-/index.html</v>
      </c>
    </row>
    <row r="521" spans="1:4" ht="15">
      <c r="A521" s="3" t="s">
        <v>128</v>
      </c>
      <c r="B521" s="4" t="s">
        <v>335</v>
      </c>
      <c r="C521" s="4" t="s">
        <v>128</v>
      </c>
      <c r="D521" s="3" t="str">
        <f>HYPERLINK("http://www.monitor.co.ug/Business/Commodities/Chinese-firm-drags-UTL-to-court-over-Shs17-billion/-/688610/1751398/-/12clildz/-/index.html")</f>
        <v>http://www.monitor.co.ug/Business/Commodities/Chinese-firm-drags-UTL-to-court-over-Shs17-billion/-/688610/1751398/-/12clildz/-/index.html</v>
      </c>
    </row>
    <row r="522" spans="1:4" ht="15">
      <c r="A522" s="3" t="s">
        <v>128</v>
      </c>
      <c r="B522" s="4" t="s">
        <v>132</v>
      </c>
      <c r="C522" s="4" t="s">
        <v>128</v>
      </c>
      <c r="D522" s="3" t="str">
        <f>HYPERLINK("http://www.newvision.co.ug/news/595117-in-brief.html")</f>
        <v>http://www.newvision.co.ug/news/595117-in-brief.html</v>
      </c>
    </row>
    <row r="523" spans="1:4" ht="15">
      <c r="A523" s="3" t="s">
        <v>128</v>
      </c>
      <c r="B523" s="4" t="s">
        <v>97</v>
      </c>
      <c r="C523" s="4" t="s">
        <v>574</v>
      </c>
      <c r="D523" s="3" t="str">
        <f>HYPERLINK("http://www.monitor.co.ug/News/National/-/688334/920498/-/x040ql/-/index.html")</f>
        <v>http://www.monitor.co.ug/News/National/-/688334/920498/-/x040ql/-/index.html</v>
      </c>
    </row>
    <row r="524" spans="1:4" ht="15">
      <c r="A524" s="3" t="s">
        <v>128</v>
      </c>
      <c r="B524" s="4" t="s">
        <v>247</v>
      </c>
      <c r="C524" s="4" t="s">
        <v>128</v>
      </c>
      <c r="D524" s="3" t="str">
        <f>HYPERLINK("http://www.monitor.co.ug/News/National/-/688334/1164824/-/c1i0d8z/-/index.html")</f>
        <v>http://www.monitor.co.ug/News/National/-/688334/1164824/-/c1i0d8z/-/index.html</v>
      </c>
    </row>
    <row r="525" spans="1:4" ht="15">
      <c r="A525" s="3" t="s">
        <v>128</v>
      </c>
      <c r="B525" s="4" t="s">
        <v>247</v>
      </c>
      <c r="C525" s="4" t="s">
        <v>654</v>
      </c>
      <c r="D525" s="3" t="str">
        <f>HYPERLINK("http://www.monitor.co.ug/News/National/-/688334/1164754/-/c1i131z/-/index.html")</f>
        <v>http://www.monitor.co.ug/News/National/-/688334/1164754/-/c1i131z/-/index.html</v>
      </c>
    </row>
    <row r="526" spans="1:4" ht="15">
      <c r="A526" s="3" t="s">
        <v>128</v>
      </c>
      <c r="B526" s="4" t="s">
        <v>294</v>
      </c>
      <c r="C526" s="4" t="s">
        <v>128</v>
      </c>
      <c r="D526" s="3" t="str">
        <f>HYPERLINK("http://www.monitor.co.ug/OpEd/Commentary/Uganda-does-not-have-to-emulate-superficial-devt/-/689364/1407898/-/ahtw8hz/-/index.html")</f>
        <v>http://www.monitor.co.ug/OpEd/Commentary/Uganda-does-not-have-to-emulate-superficial-devt/-/689364/1407898/-/ahtw8hz/-/index.html</v>
      </c>
    </row>
    <row r="527" spans="1:4" ht="15">
      <c r="A527" s="3" t="s">
        <v>128</v>
      </c>
      <c r="B527" s="4" t="s">
        <v>400</v>
      </c>
      <c r="C527" s="4" t="s">
        <v>128</v>
      </c>
      <c r="D527" s="3" t="str">
        <f>HYPERLINK("http://www.monitor.co.ug/OpEd/Editorial/prepare-deal-floods-environment/-/689360/2719280/-/qce2ldz/-/index.html")</f>
        <v>http://www.monitor.co.ug/OpEd/Editorial/prepare-deal-floods-environment/-/689360/2719280/-/qce2ldz/-/index.html</v>
      </c>
    </row>
    <row r="528" spans="1:4" ht="15">
      <c r="A528" s="3" t="s">
        <v>128</v>
      </c>
      <c r="B528" s="4" t="s">
        <v>179</v>
      </c>
      <c r="C528" s="4" t="s">
        <v>128</v>
      </c>
      <c r="D528" s="3" t="str">
        <f>HYPERLINK("http://www.monitor.co.ug/News/Education/-/688336/718964/-/10du0rq/-/index.html")</f>
        <v>http://www.monitor.co.ug/News/Education/-/688336/718964/-/10du0rq/-/index.html</v>
      </c>
    </row>
    <row r="529" spans="1:4" ht="15">
      <c r="A529" s="3" t="s">
        <v>128</v>
      </c>
      <c r="B529" s="4" t="s">
        <v>265</v>
      </c>
      <c r="C529" s="4" t="s">
        <v>550</v>
      </c>
      <c r="D529" s="3" t="str">
        <f>HYPERLINK("http://www.monitor.co.ug/Magazines/PeoplePower/-/689844/1237892/-/13wscvwz/-/index.html")</f>
        <v>http://www.monitor.co.ug/Magazines/PeoplePower/-/689844/1237892/-/13wscvwz/-/index.html</v>
      </c>
    </row>
    <row r="530" spans="1:4" ht="15">
      <c r="A530" s="3" t="s">
        <v>128</v>
      </c>
      <c r="B530" s="4" t="s">
        <v>138</v>
      </c>
      <c r="C530" s="4" t="s">
        <v>128</v>
      </c>
      <c r="D530" s="3" t="str">
        <f>HYPERLINK("http://www.newvision.co.ug/news/451791-fufa-to-sue-top-radio.html")</f>
        <v>http://www.newvision.co.ug/news/451791-fufa-to-sue-top-radio.html</v>
      </c>
    </row>
    <row r="531" spans="1:4" ht="15">
      <c r="A531" s="3" t="s">
        <v>128</v>
      </c>
      <c r="B531" s="4" t="s">
        <v>358</v>
      </c>
      <c r="C531" s="4" t="s">
        <v>710</v>
      </c>
      <c r="D531" s="3" t="str">
        <f>HYPERLINK("http://www.monitor.co.ug/News/National/Walking-the-Nile/-/688334/2150818/-/a238nq/-/index.html")</f>
        <v>http://www.monitor.co.ug/News/National/Walking-the-Nile/-/688334/2150818/-/a238nq/-/index.html</v>
      </c>
    </row>
    <row r="532" spans="1:4" ht="15">
      <c r="A532" s="3" t="s">
        <v>128</v>
      </c>
      <c r="B532" s="4" t="s">
        <v>136</v>
      </c>
      <c r="C532" s="4" t="s">
        <v>128</v>
      </c>
      <c r="D532" s="3" t="str">
        <f>HYPERLINK("http://www.newvision.co.ug/news/584304-kcc-re-opens-old-port-bell-road.html")</f>
        <v>http://www.newvision.co.ug/news/584304-kcc-re-opens-old-port-bell-road.html</v>
      </c>
    </row>
    <row r="533" spans="1:4" ht="15">
      <c r="A533" s="3" t="s">
        <v>128</v>
      </c>
      <c r="B533" s="4" t="s">
        <v>150</v>
      </c>
      <c r="C533" s="4" t="s">
        <v>128</v>
      </c>
      <c r="D533" s="3" t="str">
        <f>HYPERLINK("http://www.monitor.co.ug/News/Education/-/688336/797164/-/10iqgcf/-/index.html")</f>
        <v>http://www.monitor.co.ug/News/Education/-/688336/797164/-/10iqgcf/-/index.html</v>
      </c>
    </row>
    <row r="534" spans="1:4" ht="15">
      <c r="A534" s="3" t="s">
        <v>128</v>
      </c>
      <c r="B534" s="4" t="s">
        <v>150</v>
      </c>
      <c r="C534" s="4" t="s">
        <v>636</v>
      </c>
      <c r="D534" s="3" t="str">
        <f>HYPERLINK("http://www.monitor.co.ug/News/Education/-/688336/797152/-/10iqgbh/-/index.html")</f>
        <v>http://www.monitor.co.ug/News/Education/-/688336/797152/-/10iqgbh/-/index.html</v>
      </c>
    </row>
    <row r="535" spans="1:4" ht="15">
      <c r="A535" s="3" t="s">
        <v>128</v>
      </c>
      <c r="B535" s="4" t="s">
        <v>276</v>
      </c>
      <c r="C535" s="4" t="s">
        <v>128</v>
      </c>
      <c r="D535" s="3" t="str">
        <f>HYPERLINK("http://www.monitor.co.ug/News/National/-/688334/1291988/-/bfmoy6z/-/index.html")</f>
        <v>http://www.monitor.co.ug/News/National/-/688334/1291988/-/bfmoy6z/-/index.html</v>
      </c>
    </row>
    <row r="536" spans="1:4" ht="15">
      <c r="A536" s="3" t="s">
        <v>128</v>
      </c>
      <c r="B536" s="4" t="s">
        <v>98</v>
      </c>
      <c r="C536" s="4" t="s">
        <v>128</v>
      </c>
      <c r="D536" s="3" t="str">
        <f>HYPERLINK("http://www.monitor.co.ug/News/National/-/688334/921104/-/x04mhb/-/index.html")</f>
        <v>http://www.monitor.co.ug/News/National/-/688334/921104/-/x04mhb/-/index.html</v>
      </c>
    </row>
    <row r="537" spans="1:4" ht="15">
      <c r="A537" s="3" t="s">
        <v>128</v>
      </c>
      <c r="B537" s="4" t="s">
        <v>340</v>
      </c>
      <c r="C537" s="4" t="s">
        <v>563</v>
      </c>
      <c r="D537" s="3" t="str">
        <f>HYPERLINK("http://www.monitor.co.ug/Magazines/PeoplePower/This-Muhoozi-thing--is-it-a-project-or-projection-/-/689844/1856230/-/5yd6foz/-/index.html")</f>
        <v>http://www.monitor.co.ug/Magazines/PeoplePower/This-Muhoozi-thing--is-it-a-project-or-projection-/-/689844/1856230/-/5yd6foz/-/index.html</v>
      </c>
    </row>
    <row r="538" spans="1:4" ht="15">
      <c r="A538" s="3" t="s">
        <v>128</v>
      </c>
      <c r="B538" s="4" t="s">
        <v>298</v>
      </c>
      <c r="C538" s="4" t="s">
        <v>128</v>
      </c>
      <c r="D538" s="3" t="str">
        <f>HYPERLINK("http://www.monitor.co.ug/Business/Prosper/Why-the-budget-is-unlikely-to-deliver-the-7--projected-growth/-/688616/1429888/-/3s3olwz/-/index.html")</f>
        <v>http://www.monitor.co.ug/Business/Prosper/Why-the-budget-is-unlikely-to-deliver-the-7--projected-growth/-/688616/1429888/-/3s3olwz/-/index.html</v>
      </c>
    </row>
    <row r="539" spans="1:4" ht="15">
      <c r="A539" s="3" t="s">
        <v>128</v>
      </c>
      <c r="B539" s="4" t="s">
        <v>257</v>
      </c>
      <c r="C539" s="4" t="s">
        <v>128</v>
      </c>
      <c r="D539" s="3" t="str">
        <f>HYPERLINK("http://www.monitor.co.ug/OpEd/Letters/-/806314/1203604/-/10r3ga7/-/index.html")</f>
        <v>http://www.monitor.co.ug/OpEd/Letters/-/806314/1203604/-/10r3ga7/-/index.html</v>
      </c>
    </row>
    <row r="540" spans="1:4" ht="15">
      <c r="A540" s="3" t="s">
        <v>128</v>
      </c>
      <c r="B540" s="4" t="s">
        <v>308</v>
      </c>
      <c r="C540" s="4" t="s">
        <v>128</v>
      </c>
      <c r="D540" s="3" t="str">
        <f>HYPERLINK("http://www.monitor.co.ug/Magazines/PeoplePower/More-rot-at-OPM-than-meets-the-eye/-/689844/1482068/-/e920ef/-/index.html")</f>
        <v>http://www.monitor.co.ug/Magazines/PeoplePower/More-rot-at-OPM-than-meets-the-eye/-/689844/1482068/-/e920ef/-/index.html</v>
      </c>
    </row>
    <row r="541" spans="1:4" ht="15">
      <c r="A541" s="3" t="s">
        <v>128</v>
      </c>
      <c r="B541" s="4" t="s">
        <v>102</v>
      </c>
      <c r="C541" s="4" t="s">
        <v>685</v>
      </c>
      <c r="D541" s="3" t="str">
        <f>HYPERLINK("http://www.newvision.co.ug/news/1021-kcca-blamed-for-city-floods.html")</f>
        <v>http://www.newvision.co.ug/news/1021-kcca-blamed-for-city-floods.html</v>
      </c>
    </row>
    <row r="542" spans="1:4" ht="15">
      <c r="A542" s="3" t="s">
        <v>128</v>
      </c>
      <c r="B542" s="4" t="s">
        <v>102</v>
      </c>
      <c r="C542" s="4" t="s">
        <v>685</v>
      </c>
      <c r="D542" s="3" t="str">
        <f>HYPERLINK("http://www.newvision.co.ug/news/315786-kcca-blamed-for-city-floods.html")</f>
        <v>http://www.newvision.co.ug/news/315786-kcca-blamed-for-city-floods.html</v>
      </c>
    </row>
    <row r="543" spans="1:4" ht="15">
      <c r="A543" s="3" t="s">
        <v>128</v>
      </c>
      <c r="B543" s="4" t="s">
        <v>312</v>
      </c>
      <c r="C543" s="4" t="s">
        <v>698</v>
      </c>
      <c r="D543" s="3" t="str">
        <f>HYPERLINK("http://www.monitor.co.ug/News/National/MPs-tour-wetlands--order-for-immediate-halt-to-construction/-/688334/1511784/-/15dy30iz/-/index.html")</f>
        <v>http://www.monitor.co.ug/News/National/MPs-tour-wetlands--order-for-immediate-halt-to-construction/-/688334/1511784/-/15dy30iz/-/index.html</v>
      </c>
    </row>
    <row r="544" spans="1:4" ht="15">
      <c r="A544" s="3" t="s">
        <v>128</v>
      </c>
      <c r="B544" s="4" t="s">
        <v>123</v>
      </c>
      <c r="C544" s="4" t="s">
        <v>650</v>
      </c>
      <c r="D544" s="3" t="str">
        <f>HYPERLINK("http://www.monitor.co.ug/News/Education/-/688336/845856/-/10yp9fm/-/index.html")</f>
        <v>http://www.monitor.co.ug/News/Education/-/688336/845856/-/10yp9fm/-/index.html</v>
      </c>
    </row>
    <row r="545" spans="1:4" ht="15">
      <c r="A545" s="3" t="s">
        <v>128</v>
      </c>
      <c r="B545" s="4" t="s">
        <v>280</v>
      </c>
      <c r="C545" s="4" t="s">
        <v>581</v>
      </c>
      <c r="D545" s="3" t="str">
        <f>HYPERLINK("http://www.monitor.co.ug/News/National/-/688334/1310632/-/b1i273z/-/index.html")</f>
        <v>http://www.monitor.co.ug/News/National/-/688334/1310632/-/b1i273z/-/index.html</v>
      </c>
    </row>
    <row r="546" spans="1:4" ht="15">
      <c r="A546" s="3" t="s">
        <v>128</v>
      </c>
      <c r="B546" s="4" t="s">
        <v>316</v>
      </c>
      <c r="C546" s="4" t="s">
        <v>128</v>
      </c>
      <c r="D546" s="3" t="str">
        <f>HYPERLINK("http://www.monitor.co.ug/Magazines/Full-Woman/So-what-if-a-75-year-old-seeks-out-love/-/689842/1536990/-/sceftn/-/index.html")</f>
        <v>http://www.monitor.co.ug/Magazines/Full-Woman/So-what-if-a-75-year-old-seeks-out-love/-/689842/1536990/-/sceftn/-/index.html</v>
      </c>
    </row>
    <row r="547" spans="1:4" ht="15">
      <c r="A547" s="3" t="s">
        <v>128</v>
      </c>
      <c r="B547" s="4" t="s">
        <v>316</v>
      </c>
      <c r="C547" s="4" t="s">
        <v>628</v>
      </c>
      <c r="D547" s="3" t="str">
        <f>HYPERLINK("http://www.newvision.co.ug/news/636607-pioneer-bus-sacks-chief-executive-officer.html")</f>
        <v>http://www.newvision.co.ug/news/636607-pioneer-bus-sacks-chief-executive-officer.html</v>
      </c>
    </row>
    <row r="548" spans="1:4" ht="15">
      <c r="A548" s="3" t="s">
        <v>128</v>
      </c>
      <c r="B548" s="4" t="s">
        <v>151</v>
      </c>
      <c r="C548" s="4" t="s">
        <v>581</v>
      </c>
      <c r="D548" s="3" t="str">
        <f>HYPERLINK("http://www.monitor.co.ug/News/Education/-/688336/797244/-/10iqh34/-/index.html")</f>
        <v>http://www.monitor.co.ug/News/Education/-/688336/797244/-/10iqh34/-/index.html</v>
      </c>
    </row>
    <row r="549" spans="1:4" ht="15">
      <c r="A549" s="3" t="s">
        <v>128</v>
      </c>
      <c r="B549" s="4" t="s">
        <v>273</v>
      </c>
      <c r="C549" s="4" t="s">
        <v>128</v>
      </c>
      <c r="D549" s="3" t="str">
        <f>HYPERLINK("http://www.monitor.co.ug/News/National/-/688334/1275952/-/bgs0jxz/-/index.html")</f>
        <v>http://www.monitor.co.ug/News/National/-/688334/1275952/-/bgs0jxz/-/index.html</v>
      </c>
    </row>
    <row r="550" spans="1:4" ht="15">
      <c r="A550" s="3" t="s">
        <v>128</v>
      </c>
      <c r="B550" s="4" t="s">
        <v>273</v>
      </c>
      <c r="C550" s="4" t="s">
        <v>128</v>
      </c>
      <c r="D550" s="3" t="str">
        <f>HYPERLINK("http://www.monitor.co.ug/Magazines/PeoplePower/-/689844/1275802/-/13udl6yz/-/index.html")</f>
        <v>http://www.monitor.co.ug/Magazines/PeoplePower/-/689844/1275802/-/13udl6yz/-/index.html</v>
      </c>
    </row>
    <row r="551" spans="1:4" ht="15">
      <c r="A551" s="3" t="s">
        <v>128</v>
      </c>
      <c r="B551" s="4" t="s">
        <v>155</v>
      </c>
      <c r="C551" s="4" t="s">
        <v>128</v>
      </c>
      <c r="D551" s="3" t="str">
        <f>HYPERLINK("http://www.monitor.co.ug/Business/Commodities/-/688610/800542/-/hdhp0i/-/index.html")</f>
        <v>http://www.monitor.co.ug/Business/Commodities/-/688610/800542/-/hdhp0i/-/index.html</v>
      </c>
    </row>
    <row r="552" spans="1:4" ht="15">
      <c r="A552" s="3" t="s">
        <v>128</v>
      </c>
      <c r="B552" s="4" t="s">
        <v>155</v>
      </c>
      <c r="C552" s="4" t="s">
        <v>128</v>
      </c>
      <c r="D552" s="3" t="str">
        <f>HYPERLINK("http://www.monitor.co.ug/Business/Commodities/-/688610/800550/-/hdhp1c/-/index.html")</f>
        <v>http://www.monitor.co.ug/Business/Commodities/-/688610/800550/-/hdhp1c/-/index.html</v>
      </c>
    </row>
    <row r="553" spans="1:4" ht="15">
      <c r="A553" s="3" t="s">
        <v>128</v>
      </c>
      <c r="B553" s="4" t="s">
        <v>286</v>
      </c>
      <c r="C553" s="4" t="s">
        <v>562</v>
      </c>
      <c r="D553" s="3" t="str">
        <f>HYPERLINK("http://www.newvision.co.ug/news/629130-heavy-rains-devastate-kampala-suburbs.html")</f>
        <v>http://www.newvision.co.ug/news/629130-heavy-rains-devastate-kampala-suburbs.html</v>
      </c>
    </row>
    <row r="554" spans="1:4" ht="15">
      <c r="A554" s="3" t="s">
        <v>128</v>
      </c>
      <c r="B554" s="4" t="s">
        <v>286</v>
      </c>
      <c r="C554" s="4" t="s">
        <v>571</v>
      </c>
      <c r="D554" s="3" t="str">
        <f>HYPERLINK("http://www.monitor.co.ug/News/National/-/688334/1331160/-/b09dwyz/-/index.html")</f>
        <v>http://www.monitor.co.ug/News/National/-/688334/1331160/-/b09dwyz/-/index.html</v>
      </c>
    </row>
    <row r="555" spans="1:4" ht="15">
      <c r="A555" s="3" t="s">
        <v>128</v>
      </c>
      <c r="B555" s="4" t="s">
        <v>160</v>
      </c>
      <c r="C555" s="4" t="s">
        <v>128</v>
      </c>
      <c r="D555" s="3" t="str">
        <f>HYPERLINK("http://www.monitor.co.ug/News/Education/-/688336/732558/-/10exthq/-/index.html")</f>
        <v>http://www.monitor.co.ug/News/Education/-/688336/732558/-/10exthq/-/index.html</v>
      </c>
    </row>
    <row r="556" spans="1:4" ht="15">
      <c r="A556" s="3" t="s">
        <v>128</v>
      </c>
      <c r="B556" s="4" t="s">
        <v>236</v>
      </c>
      <c r="C556" s="4" t="s">
        <v>675</v>
      </c>
      <c r="D556" s="3" t="str">
        <f>HYPERLINK("http://www.monitor.co.ug/News/National/-/688334/1129022/-/c3uumcz/-/index.html")</f>
        <v>http://www.monitor.co.ug/News/National/-/688334/1129022/-/c3uumcz/-/index.html</v>
      </c>
    </row>
    <row r="557" spans="1:4" ht="15">
      <c r="A557" s="3" t="s">
        <v>128</v>
      </c>
      <c r="B557" s="4" t="s">
        <v>289</v>
      </c>
      <c r="C557" s="4" t="s">
        <v>128</v>
      </c>
      <c r="D557" s="3" t="str">
        <f>HYPERLINK("http://www.monitor.co.ug/OpEd/Letters/-/806314/1369538/-/11eykl6/-/index.html")</f>
        <v>http://www.monitor.co.ug/OpEd/Letters/-/806314/1369538/-/11eykl6/-/index.html</v>
      </c>
    </row>
    <row r="558" spans="1:4" ht="15">
      <c r="A558" s="3" t="s">
        <v>128</v>
      </c>
      <c r="B558" s="4" t="s">
        <v>209</v>
      </c>
      <c r="C558" s="4" t="s">
        <v>563</v>
      </c>
      <c r="D558" s="3" t="str">
        <f>HYPERLINK("http://www.monitor.co.ug/News/National/-/688334/921864/-/x04s4t/-/index.html")</f>
        <v>http://www.monitor.co.ug/News/National/-/688334/921864/-/x04s4t/-/index.html</v>
      </c>
    </row>
    <row r="559" spans="1:4" ht="15">
      <c r="A559" s="3" t="s">
        <v>128</v>
      </c>
      <c r="B559" s="4" t="s">
        <v>248</v>
      </c>
      <c r="C559" s="4" t="s">
        <v>128</v>
      </c>
      <c r="D559" s="3" t="str">
        <f>HYPERLINK("http://www.monitor.co.ug/OpEd/Commentary/-/689364/1165966/-/139nsqoz/-/index.html")</f>
        <v>http://www.monitor.co.ug/OpEd/Commentary/-/689364/1165966/-/139nsqoz/-/index.html</v>
      </c>
    </row>
    <row r="560" spans="1:4" ht="15">
      <c r="A560" s="3" t="s">
        <v>128</v>
      </c>
      <c r="B560" s="4" t="s">
        <v>402</v>
      </c>
      <c r="C560" s="4" t="s">
        <v>128</v>
      </c>
      <c r="D560" s="3" t="str">
        <f>HYPERLINK("http://www.monitor.co.ug/SpecialReports/Saving-environment-banana-paper/-/688342/2757868/-/gidtuwz/-/index.html")</f>
        <v>http://www.monitor.co.ug/SpecialReports/Saving-environment-banana-paper/-/688342/2757868/-/gidtuwz/-/index.html</v>
      </c>
    </row>
    <row r="561" spans="1:4" ht="15">
      <c r="A561" s="3" t="s">
        <v>128</v>
      </c>
      <c r="B561" s="4" t="s">
        <v>103</v>
      </c>
      <c r="C561" s="4" t="s">
        <v>128</v>
      </c>
      <c r="D561" s="3" t="str">
        <f>HYPERLINK("http://www.newvision.co.ug/news/315720-sugar-prices-to-reduce-as-imports-arrive.html")</f>
        <v>http://www.newvision.co.ug/news/315720-sugar-prices-to-reduce-as-imports-arrive.html</v>
      </c>
    </row>
    <row r="562" spans="1:4" ht="15">
      <c r="A562" s="3" t="s">
        <v>128</v>
      </c>
      <c r="B562" s="4" t="s">
        <v>103</v>
      </c>
      <c r="C562" s="4" t="s">
        <v>128</v>
      </c>
      <c r="D562" s="3" t="str">
        <f>HYPERLINK("http://www.newvision.co.ug/news/955-sugar-prices-to-reduce-as-imports-arrive.html")</f>
        <v>http://www.newvision.co.ug/news/955-sugar-prices-to-reduce-as-imports-arrive.html</v>
      </c>
    </row>
    <row r="563" spans="1:4" ht="15">
      <c r="A563" s="3" t="s">
        <v>128</v>
      </c>
      <c r="B563" s="4" t="s">
        <v>313</v>
      </c>
      <c r="C563" s="4" t="s">
        <v>699</v>
      </c>
      <c r="D563" s="3" t="str">
        <f>HYPERLINK("http://www.monitor.co.ug/News/National/MPs-tour-degraded-Kampala-wetlands/-/688334/1512168/-/1maq61z/-/index.html")</f>
        <v>http://www.monitor.co.ug/News/National/MPs-tour-degraded-Kampala-wetlands/-/688334/1512168/-/1maq61z/-/index.html</v>
      </c>
    </row>
    <row r="564" spans="1:4" ht="15">
      <c r="A564" s="3" t="s">
        <v>128</v>
      </c>
      <c r="B564" s="4" t="s">
        <v>231</v>
      </c>
      <c r="C564" s="4" t="s">
        <v>602</v>
      </c>
      <c r="D564" s="3" t="str">
        <f>HYPERLINK("http://www.monitor.co.ug/News/Education/-/688336/1093228/-/e21htm/-/index.html")</f>
        <v>http://www.monitor.co.ug/News/Education/-/688336/1093228/-/e21htm/-/index.html</v>
      </c>
    </row>
    <row r="565" spans="1:4" ht="15">
      <c r="A565" s="3" t="s">
        <v>128</v>
      </c>
      <c r="B565" s="4" t="s">
        <v>389</v>
      </c>
      <c r="C565" s="4" t="s">
        <v>568</v>
      </c>
      <c r="D565" s="3" t="str">
        <f>HYPERLINK("http://www.monitor.co.ug/artsculture/Reviews/The-journey-of-an-unclaimed-body/-/691232/2596088/-/11nn5adz/-/index.html")</f>
        <v>http://www.monitor.co.ug/artsculture/Reviews/The-journey-of-an-unclaimed-body/-/691232/2596088/-/11nn5adz/-/index.html</v>
      </c>
    </row>
    <row r="566" spans="1:4" ht="15">
      <c r="A566" s="3" t="s">
        <v>128</v>
      </c>
      <c r="B566" s="4" t="s">
        <v>152</v>
      </c>
      <c r="C566" s="4" t="s">
        <v>638</v>
      </c>
      <c r="D566" s="3" t="str">
        <f>HYPERLINK("http://www.newvision.co.ug/news/480119--100m-project-to-end-kampala-flooding.html")</f>
        <v>http://www.newvision.co.ug/news/480119--100m-project-to-end-kampala-flooding.html</v>
      </c>
    </row>
    <row r="567" spans="1:4" ht="15">
      <c r="A567" s="3" t="s">
        <v>128</v>
      </c>
      <c r="B567" s="4" t="s">
        <v>152</v>
      </c>
      <c r="C567" s="4" t="s">
        <v>625</v>
      </c>
      <c r="D567" s="3" t="str">
        <f>HYPERLINK("http://www.monitor.co.ug/News/Education/-/688336/797300/-/10iqhqw/-/index.html")</f>
        <v>http://www.monitor.co.ug/News/Education/-/688336/797300/-/10iqhqw/-/index.html</v>
      </c>
    </row>
    <row r="568" spans="1:4" ht="15">
      <c r="A568" s="3" t="s">
        <v>128</v>
      </c>
      <c r="B568" s="4" t="s">
        <v>152</v>
      </c>
      <c r="C568" s="4" t="s">
        <v>563</v>
      </c>
      <c r="D568" s="3" t="str">
        <f>HYPERLINK("http://www.monitor.co.ug/News/Education/-/688336/797420/-/10iqil5/-/index.html")</f>
        <v>http://www.monitor.co.ug/News/Education/-/688336/797420/-/10iqil5/-/index.html</v>
      </c>
    </row>
    <row r="569" spans="1:4" ht="15">
      <c r="A569" s="3" t="s">
        <v>128</v>
      </c>
      <c r="B569" s="4" t="s">
        <v>152</v>
      </c>
      <c r="C569" s="4" t="s">
        <v>563</v>
      </c>
      <c r="D569" s="3" t="str">
        <f>HYPERLINK("http://www.monitor.co.ug/News/Education/-/688336/797416/-/10iqikf/-/index.html")</f>
        <v>http://www.monitor.co.ug/News/Education/-/688336/797416/-/10iqikf/-/index.html</v>
      </c>
    </row>
    <row r="570" spans="1:4" ht="15">
      <c r="A570" s="3" t="s">
        <v>128</v>
      </c>
      <c r="B570" s="4" t="s">
        <v>355</v>
      </c>
      <c r="C570" s="4" t="s">
        <v>675</v>
      </c>
      <c r="D570" s="3" t="str">
        <f>HYPERLINK("http://www.monitor.co.ug/News/National/Museveni-told-not-to--drag-police--into-politics-/-/688334/2081942/-/l96vhjz/-/index.html")</f>
        <v>http://www.monitor.co.ug/News/National/Museveni-told-not-to--drag-police--into-politics-/-/688334/2081942/-/l96vhjz/-/index.html</v>
      </c>
    </row>
    <row r="571" spans="1:4" ht="15">
      <c r="A571" s="3" t="s">
        <v>128</v>
      </c>
      <c r="B571" s="4" t="s">
        <v>385</v>
      </c>
      <c r="C571" s="4" t="s">
        <v>721</v>
      </c>
      <c r="D571" s="3" t="str">
        <f>HYPERLINK("http://www.newvision.co.ug/news/662052-kampala-floods-cause-heavy-traffic-jam.html")</f>
        <v>http://www.newvision.co.ug/news/662052-kampala-floods-cause-heavy-traffic-jam.html</v>
      </c>
    </row>
    <row r="572" spans="1:4" ht="15">
      <c r="A572" s="3" t="s">
        <v>128</v>
      </c>
      <c r="B572" s="4" t="s">
        <v>182</v>
      </c>
      <c r="C572" s="4" t="s">
        <v>726</v>
      </c>
      <c r="D572" s="3" t="str">
        <f>HYPERLINK("http://www.monitor.co.ug/artsculture/Travel/-/691238/827618/-/oyt05z/-/index.html")</f>
        <v>http://www.monitor.co.ug/artsculture/Travel/-/691238/827618/-/oyt05z/-/index.html</v>
      </c>
    </row>
    <row r="573" spans="1:4" ht="15">
      <c r="A573" s="3" t="s">
        <v>128</v>
      </c>
      <c r="B573" s="4" t="s">
        <v>287</v>
      </c>
      <c r="C573" s="4" t="s">
        <v>128</v>
      </c>
      <c r="D573" s="3" t="str">
        <f>HYPERLINK("http://www.monitor.co.ug/News/National/-/688334/1331796/-/b0995ez/-/index.html")</f>
        <v>http://www.monitor.co.ug/News/National/-/688334/1331796/-/b0995ez/-/index.html</v>
      </c>
    </row>
    <row r="574" spans="1:4" ht="15">
      <c r="A574" s="3" t="s">
        <v>128</v>
      </c>
      <c r="B574" s="4" t="s">
        <v>95</v>
      </c>
      <c r="C574" s="4" t="s">
        <v>653</v>
      </c>
      <c r="D574" s="3" t="str">
        <f>HYPERLINK("http://www.monitor.co.ug/OpEd/Commentary/-/689364/883406/-/ah1tucz/-/index.html")</f>
        <v>http://www.monitor.co.ug/OpEd/Commentary/-/689364/883406/-/ah1tucz/-/index.html</v>
      </c>
    </row>
    <row r="575" spans="1:4" ht="15">
      <c r="A575" s="3" t="s">
        <v>128</v>
      </c>
      <c r="B575" s="4" t="s">
        <v>237</v>
      </c>
      <c r="C575" s="4" t="s">
        <v>675</v>
      </c>
      <c r="D575" s="3" t="str">
        <f>HYPERLINK("http://www.monitor.co.ug/OpEd/Commentary/-/689364/1129830/-/13c27wjz/-/index.html")</f>
        <v>http://www.monitor.co.ug/OpEd/Commentary/-/689364/1129830/-/13c27wjz/-/index.html</v>
      </c>
    </row>
    <row r="576" spans="1:4" ht="15">
      <c r="A576" s="3" t="s">
        <v>128</v>
      </c>
      <c r="B576" s="4" t="s">
        <v>291</v>
      </c>
      <c r="C576" s="4" t="s">
        <v>562</v>
      </c>
      <c r="D576" s="3" t="str">
        <f>HYPERLINK("http://www.monitor.co.ug/OpEd/Letters/-/806314/1390322/-/11gmvsl/-/index.html")</f>
        <v>http://www.monitor.co.ug/OpEd/Letters/-/806314/1390322/-/11gmvsl/-/index.html</v>
      </c>
    </row>
    <row r="577" spans="1:4" ht="15">
      <c r="A577" s="3" t="s">
        <v>128</v>
      </c>
      <c r="B577" s="4" t="s">
        <v>249</v>
      </c>
      <c r="C577" s="4" t="s">
        <v>679</v>
      </c>
      <c r="D577" s="3" t="str">
        <f>HYPERLINK("http://www.newvision.co.ug/news/322517-will-new-leaders-change-kampala.html")</f>
        <v>http://www.newvision.co.ug/news/322517-will-new-leaders-change-kampala.html</v>
      </c>
    </row>
    <row r="578" spans="1:4" ht="15">
      <c r="A578" s="3" t="s">
        <v>128</v>
      </c>
      <c r="B578" s="4" t="s">
        <v>214</v>
      </c>
      <c r="C578" s="4" t="s">
        <v>603</v>
      </c>
      <c r="D578" s="3" t="str">
        <f>HYPERLINK("http://www.monitor.co.ug/artsculture/Travel/-/691238/942860/-/4rfdiz/-/index.html")</f>
        <v>http://www.monitor.co.ug/artsculture/Travel/-/691238/942860/-/4rfdiz/-/index.html</v>
      </c>
    </row>
    <row r="579" spans="1:4" ht="15">
      <c r="A579" s="3" t="s">
        <v>128</v>
      </c>
      <c r="B579" s="4" t="s">
        <v>299</v>
      </c>
      <c r="C579" s="4" t="s">
        <v>128</v>
      </c>
      <c r="D579" s="3" t="str">
        <f>HYPERLINK("http://www.newvision.co.ug/news/632190-gov-t-sues-lc-bikes-insurer-wants-sh1-1b.html")</f>
        <v>http://www.newvision.co.ug/news/632190-gov-t-sues-lc-bikes-insurer-wants-sh1-1b.html</v>
      </c>
    </row>
    <row r="580" spans="1:4" ht="15">
      <c r="A580" s="3" t="s">
        <v>128</v>
      </c>
      <c r="B580" s="4" t="s">
        <v>84</v>
      </c>
      <c r="C580" s="4" t="s">
        <v>677</v>
      </c>
      <c r="D580" s="3" t="str">
        <f>HYPERLINK("http://www.monitor.co.ug/Magazines/Life/-/689856/1222126/-/bnghds/-/index.html")</f>
        <v>http://www.monitor.co.ug/Magazines/Life/-/689856/1222126/-/bnghds/-/index.html</v>
      </c>
    </row>
    <row r="581" spans="1:4" ht="15">
      <c r="A581" s="3" t="s">
        <v>128</v>
      </c>
      <c r="B581" s="4" t="s">
        <v>84</v>
      </c>
      <c r="C581" s="4" t="s">
        <v>550</v>
      </c>
      <c r="D581" s="3" t="str">
        <f>HYPERLINK("http://www.monitor.co.ug/Magazines/PeoplePower/-/689844/1222596/-/13xifqcz/-/index.html")</f>
        <v>http://www.monitor.co.ug/Magazines/PeoplePower/-/689844/1222596/-/13xifqcz/-/index.html</v>
      </c>
    </row>
    <row r="582" spans="1:4" ht="15">
      <c r="A582" s="3" t="s">
        <v>128</v>
      </c>
      <c r="B582" s="4" t="s">
        <v>309</v>
      </c>
      <c r="C582" s="4" t="s">
        <v>128</v>
      </c>
      <c r="D582" s="3" t="str">
        <f>HYPERLINK("http://www.monitor.co.ug/Magazines/HomesandProperty/About-home-drainage-systems/-/689858/1484094/-/9q2kuiz/-/index.html")</f>
        <v>http://www.monitor.co.ug/Magazines/HomesandProperty/About-home-drainage-systems/-/689858/1484094/-/9q2kuiz/-/index.html</v>
      </c>
    </row>
    <row r="583" spans="1:4" ht="15">
      <c r="A583" s="3" t="s">
        <v>128</v>
      </c>
      <c r="B583" s="4" t="s">
        <v>346</v>
      </c>
      <c r="C583" s="4" t="s">
        <v>128</v>
      </c>
      <c r="D583" s="3" t="str">
        <f>HYPERLINK("http://www.monitor.co.ug/Magazines/HomesandProperty/Rains-are-here--is-your-home-safe-from-floods-/-/689858/1961530/-/aar1ml/-/index.html")</f>
        <v>http://www.monitor.co.ug/Magazines/HomesandProperty/Rains-are-here--is-your-home-safe-from-floods-/-/689858/1961530/-/aar1ml/-/index.html</v>
      </c>
    </row>
    <row r="584" spans="1:4" ht="15">
      <c r="A584" s="3" t="s">
        <v>128</v>
      </c>
      <c r="B584" s="4" t="s">
        <v>266</v>
      </c>
      <c r="C584" s="4" t="s">
        <v>128</v>
      </c>
      <c r="D584" s="3" t="str">
        <f>HYPERLINK("http://www.newvision.co.ug/news/315632-rastoon.html")</f>
        <v>http://www.newvision.co.ug/news/315632-rastoon.html</v>
      </c>
    </row>
    <row r="585" spans="1:4" ht="15">
      <c r="A585" s="3" t="s">
        <v>128</v>
      </c>
      <c r="B585" s="4" t="s">
        <v>266</v>
      </c>
      <c r="C585" s="4" t="s">
        <v>128</v>
      </c>
      <c r="D585" s="3" t="str">
        <f>HYPERLINK("http://www.newvision.co.ug/news/867-rastoon.html")</f>
        <v>http://www.newvision.co.ug/news/867-rastoon.html</v>
      </c>
    </row>
    <row r="586" spans="1:4" ht="15">
      <c r="A586" s="3" t="s">
        <v>128</v>
      </c>
      <c r="B586" s="4" t="s">
        <v>349</v>
      </c>
      <c r="C586" s="4" t="s">
        <v>128</v>
      </c>
      <c r="D586" s="3" t="str">
        <f>HYPERLINK("http://www.monitor.co.ug/News/National/Prisons-chief-wants-warders-to-go-for-HIV-test/-/688334/2000722/-/gt7vpfz/-/index.html")</f>
        <v>http://www.monitor.co.ug/News/National/Prisons-chief-wants-warders-to-go-for-HIV-test/-/688334/2000722/-/gt7vpfz/-/index.html</v>
      </c>
    </row>
    <row r="587" spans="1:4" ht="15">
      <c r="A587" s="3" t="s">
        <v>128</v>
      </c>
      <c r="B587" s="4" t="s">
        <v>185</v>
      </c>
      <c r="C587" s="4" t="s">
        <v>128</v>
      </c>
      <c r="D587" s="3" t="str">
        <f>HYPERLINK("http://www.monitor.co.ug/Sports/Soccer/-/690266/847330/-/1590dlsz/-/index.html")</f>
        <v>http://www.monitor.co.ug/Sports/Soccer/-/690266/847330/-/1590dlsz/-/index.html</v>
      </c>
    </row>
    <row r="588" spans="1:4" ht="15">
      <c r="A588" s="3" t="s">
        <v>128</v>
      </c>
      <c r="B588" s="4" t="s">
        <v>281</v>
      </c>
      <c r="C588" s="4" t="s">
        <v>570</v>
      </c>
      <c r="D588" s="3" t="str">
        <f>HYPERLINK("http://www.monitor.co.ug/OpEd/OpEdColumnists/YasiinMugerwa/-/878670/1311412/-/51nqwq/-/index.html")</f>
        <v>http://www.monitor.co.ug/OpEd/OpEdColumnists/YasiinMugerwa/-/878670/1311412/-/51nqwq/-/index.html</v>
      </c>
    </row>
    <row r="589" spans="1:4" ht="15">
      <c r="A589" s="3" t="s">
        <v>128</v>
      </c>
      <c r="B589" s="4" t="s">
        <v>317</v>
      </c>
      <c r="C589" s="4" t="s">
        <v>128</v>
      </c>
      <c r="D589" s="3" t="str">
        <f>HYPERLINK("http://www.monitor.co.ug/News/National/Mbale-residents-oppose-Sh50-billion-dam/-/688334/1539102/-/d3nokn/-/index.html")</f>
        <v>http://www.monitor.co.ug/News/National/Mbale-residents-oppose-Sh50-billion-dam/-/688334/1539102/-/d3nokn/-/index.html</v>
      </c>
    </row>
    <row r="590" spans="1:4" ht="15">
      <c r="A590" s="3" t="s">
        <v>128</v>
      </c>
      <c r="B590" s="4" t="s">
        <v>383</v>
      </c>
      <c r="C590" s="4" t="s">
        <v>718</v>
      </c>
      <c r="D590" s="3" t="str">
        <f>HYPERLINK("http://www.monitor.co.ug/Magazines/HomesandProperty/A-fast-growing-trading-centre/-/689858/2495182/-/jui076/-/index.html")</f>
        <v>http://www.monitor.co.ug/Magazines/HomesandProperty/A-fast-growing-trading-centre/-/689858/2495182/-/jui076/-/index.html</v>
      </c>
    </row>
    <row r="591" spans="1:4" ht="15">
      <c r="A591" s="3" t="s">
        <v>128</v>
      </c>
      <c r="B591" s="4" t="s">
        <v>153</v>
      </c>
      <c r="C591" s="4" t="s">
        <v>128</v>
      </c>
      <c r="D591" s="3" t="str">
        <f>HYPERLINK("http://www.monitor.co.ug/Business/Commodities/-/688610/797488/-/h03nv2/-/index.html")</f>
        <v>http://www.monitor.co.ug/Business/Commodities/-/688610/797488/-/h03nv2/-/index.html</v>
      </c>
    </row>
    <row r="592" spans="1:4" ht="15">
      <c r="A592" s="3" t="s">
        <v>128</v>
      </c>
      <c r="B592" s="4" t="s">
        <v>183</v>
      </c>
      <c r="C592" s="4" t="s">
        <v>128</v>
      </c>
      <c r="D592" s="3" t="str">
        <f>HYPERLINK("http://www.monitor.co.ug/OpEd/Commentary/-/689364/828276/-/akmn13z/-/index.html")</f>
        <v>http://www.monitor.co.ug/OpEd/Commentary/-/689364/828276/-/akmn13z/-/index.html</v>
      </c>
    </row>
    <row r="593" spans="1:4" ht="15">
      <c r="A593" s="3" t="s">
        <v>128</v>
      </c>
      <c r="B593" s="4" t="s">
        <v>357</v>
      </c>
      <c r="C593" s="4" t="s">
        <v>647</v>
      </c>
      <c r="D593" s="3" t="str">
        <f>HYPERLINK("http://www.monitor.co.ug/Magazines/PeoplePower/In-Uganda--Christmas-has-been-abolished---This-is-official/-/689844/2121296/-/xfnxctz/-/index.html")</f>
        <v>http://www.monitor.co.ug/Magazines/PeoplePower/In-Uganda--Christmas-has-been-abolished---This-is-official/-/689844/2121296/-/xfnxctz/-/index.html</v>
      </c>
    </row>
    <row r="594" spans="1:4" ht="15">
      <c r="A594" s="3" t="s">
        <v>128</v>
      </c>
      <c r="B594" s="4" t="s">
        <v>232</v>
      </c>
      <c r="C594" s="4" t="s">
        <v>670</v>
      </c>
      <c r="D594" s="3" t="str">
        <f>HYPERLINK("http://www.monitor.co.ug/Business/Prosper/-/688616/1111874/-/ai9009/-/index.html")</f>
        <v>http://www.monitor.co.ug/Business/Prosper/-/688616/1111874/-/ai9009/-/index.html</v>
      </c>
    </row>
    <row r="595" spans="1:4" ht="15">
      <c r="A595" s="3" t="s">
        <v>128</v>
      </c>
      <c r="B595" s="4" t="s">
        <v>329</v>
      </c>
      <c r="C595" s="4" t="s">
        <v>603</v>
      </c>
      <c r="D595" s="3" t="str">
        <f>HYPERLINK("http://www.newvision.co.ug/news/640078-mtn-marathon-9th-edition-proceeds-award.html")</f>
        <v>http://www.newvision.co.ug/news/640078-mtn-marathon-9th-edition-proceeds-award.html</v>
      </c>
    </row>
    <row r="596" spans="1:4" ht="15">
      <c r="A596" s="3" t="s">
        <v>128</v>
      </c>
      <c r="B596" s="4" t="s">
        <v>196</v>
      </c>
      <c r="C596" s="4" t="s">
        <v>603</v>
      </c>
      <c r="D596" s="3" t="str">
        <f>HYPERLINK("http://www.newvision.co.ug/news/622872-news-in-brief.html")</f>
        <v>http://www.newvision.co.ug/news/622872-news-in-brief.html</v>
      </c>
    </row>
    <row r="597" spans="1:4" ht="15">
      <c r="A597" s="3" t="s">
        <v>128</v>
      </c>
      <c r="B597" s="4" t="s">
        <v>196</v>
      </c>
      <c r="C597" s="4" t="s">
        <v>603</v>
      </c>
      <c r="D597" s="3" t="str">
        <f>HYPERLINK("http://www.newvision.co.ug/news/622812-kayiwaÃ¢-s-bududa-bid.html")</f>
        <v>http://www.newvision.co.ug/news/622812-kayiwaÃ¢-s-bududa-bid.html</v>
      </c>
    </row>
    <row r="598" spans="1:4" ht="15">
      <c r="A598" s="3" t="s">
        <v>128</v>
      </c>
      <c r="B598" s="4" t="s">
        <v>238</v>
      </c>
      <c r="C598" s="4" t="s">
        <v>128</v>
      </c>
      <c r="D598" s="3" t="str">
        <f>HYPERLINK("http://www.monitor.co.ug/OpEd/Commentary/-/689364/1130488/-/13bm0vxz/-/index.html")</f>
        <v>http://www.monitor.co.ug/OpEd/Commentary/-/689364/1130488/-/13bm0vxz/-/index.html</v>
      </c>
    </row>
    <row r="599" spans="1:4" ht="15">
      <c r="A599" s="3" t="s">
        <v>128</v>
      </c>
      <c r="B599" s="4" t="s">
        <v>364</v>
      </c>
      <c r="C599" s="4" t="s">
        <v>630</v>
      </c>
      <c r="D599" s="3" t="str">
        <f>HYPERLINK("http://www.monitor.co.ug/News/National/Bugolobi-supermarket--office-premises-face-demolition/-/688334/2254002/-/w4uqetz/-/index.html")</f>
        <v>http://www.monitor.co.ug/News/National/Bugolobi-supermarket--office-premises-face-demolition/-/688334/2254002/-/w4uqetz/-/index.html</v>
      </c>
    </row>
    <row r="600" spans="1:4" ht="15">
      <c r="A600" s="3" t="s">
        <v>128</v>
      </c>
      <c r="B600" s="4" t="s">
        <v>368</v>
      </c>
      <c r="C600" s="4" t="s">
        <v>550</v>
      </c>
      <c r="D600" s="3" t="str">
        <f>HYPERLINK("http://www.monitor.co.ug/artsculture/Reviews/earth-day--aiming-for-a-green-city/-/691232/2288862/-/qv3egk/-/index.html")</f>
        <v>http://www.monitor.co.ug/artsculture/Reviews/earth-day--aiming-for-a-green-city/-/691232/2288862/-/qv3egk/-/index.html</v>
      </c>
    </row>
    <row r="601" spans="1:4" ht="15">
      <c r="A601" s="3" t="s">
        <v>128</v>
      </c>
      <c r="B601" s="4" t="s">
        <v>210</v>
      </c>
      <c r="C601" s="4" t="s">
        <v>606</v>
      </c>
      <c r="D601" s="3" t="str">
        <f>HYPERLINK("http://www.monitor.co.ug/News/National/-/688334/923042/-/x060fo/-/index.html")</f>
        <v>http://www.monitor.co.ug/News/National/-/688334/923042/-/x060fo/-/index.html</v>
      </c>
    </row>
    <row r="602" spans="1:4" ht="15">
      <c r="A602" s="3" t="s">
        <v>128</v>
      </c>
      <c r="B602" s="4" t="s">
        <v>175</v>
      </c>
      <c r="C602" s="4" t="s">
        <v>646</v>
      </c>
      <c r="D602" s="3" t="str">
        <f>HYPERLINK("http://www.monitor.co.ug/Business/Auto/-/688614/713712/-/hejfniz/-/index.html")</f>
        <v>http://www.monitor.co.ug/Business/Auto/-/688614/713712/-/hejfniz/-/index.html</v>
      </c>
    </row>
    <row r="603" spans="1:4" ht="15">
      <c r="A603" s="3" t="s">
        <v>128</v>
      </c>
      <c r="B603" s="4" t="s">
        <v>217</v>
      </c>
      <c r="C603" s="4" t="s">
        <v>603</v>
      </c>
      <c r="D603" s="3" t="str">
        <f>HYPERLINK("http://www.monitor.co.ug/Business/Auto/-/688614/962174/-/g8c3l0z/-/index.html")</f>
        <v>http://www.monitor.co.ug/Business/Auto/-/688614/962174/-/g8c3l0z/-/index.html</v>
      </c>
    </row>
    <row r="604" spans="1:4" ht="15">
      <c r="A604" s="3" t="s">
        <v>128</v>
      </c>
      <c r="B604" s="4" t="s">
        <v>305</v>
      </c>
      <c r="C604" s="4" t="s">
        <v>128</v>
      </c>
      <c r="D604" s="3" t="str">
        <f>HYPERLINK("http://www.monitor.co.ug/Magazines/Life/Elegu--A-booming-town-clamouring-for-services/-/689856/1459980/-/97q2sc/-/index.html")</f>
        <v>http://www.monitor.co.ug/Magazines/Life/Elegu--A-booming-town-clamouring-for-services/-/689856/1459980/-/97q2sc/-/index.html</v>
      </c>
    </row>
    <row r="605" spans="1:4" ht="15">
      <c r="A605" s="3" t="s">
        <v>128</v>
      </c>
      <c r="B605" s="4" t="s">
        <v>220</v>
      </c>
      <c r="C605" s="4" t="s">
        <v>563</v>
      </c>
      <c r="D605" s="3" t="str">
        <f>HYPERLINK("http://www.monitor.co.ug/News/National/-/688334/994186/-/x4hhw6/-/index.html")</f>
        <v>http://www.monitor.co.ug/News/National/-/688334/994186/-/x4hhw6/-/index.html</v>
      </c>
    </row>
    <row r="606" spans="1:4" ht="15">
      <c r="A606" s="3" t="s">
        <v>128</v>
      </c>
      <c r="B606" s="4" t="s">
        <v>224</v>
      </c>
      <c r="C606" s="4" t="s">
        <v>641</v>
      </c>
      <c r="D606" s="3" t="str">
        <f>HYPERLINK("http://www.monitor.co.ug/News/National/-/688334/1015622/-/cnmrtcz/-/index.html")</f>
        <v>http://www.monitor.co.ug/News/National/-/688334/1015622/-/cnmrtcz/-/index.html</v>
      </c>
    </row>
    <row r="607" spans="1:4" ht="15">
      <c r="A607" s="3" t="s">
        <v>128</v>
      </c>
      <c r="B607" s="4" t="s">
        <v>267</v>
      </c>
      <c r="C607" s="4" t="s">
        <v>128</v>
      </c>
      <c r="D607" s="3" t="str">
        <f>HYPERLINK("http://www.monitor.co.ug/News/National/-/688334/1240512/-/biq734z/-/index.html")</f>
        <v>http://www.monitor.co.ug/News/National/-/688334/1240512/-/biq734z/-/index.html</v>
      </c>
    </row>
    <row r="608" spans="1:4" ht="15">
      <c r="A608" s="3" t="s">
        <v>128</v>
      </c>
      <c r="B608" s="4" t="s">
        <v>353</v>
      </c>
      <c r="C608" s="4" t="s">
        <v>565</v>
      </c>
      <c r="D608" s="3" t="str">
        <f>HYPERLINK("http://www.monitor.co.ug/Magazines/HomesandProperty/When-the-city-comes-to-your-village/-/689858/2043026/-/6dhg9z/-/index.html")</f>
        <v>http://www.monitor.co.ug/Magazines/HomesandProperty/When-the-city-comes-to-your-village/-/689858/2043026/-/6dhg9z/-/index.html</v>
      </c>
    </row>
    <row r="609" spans="1:4" ht="15">
      <c r="A609" s="3" t="s">
        <v>128</v>
      </c>
      <c r="B609" s="4" t="s">
        <v>277</v>
      </c>
      <c r="C609" s="4" t="s">
        <v>689</v>
      </c>
      <c r="D609" s="3" t="str">
        <f>HYPERLINK("http://www.monitor.co.ug/News/National/-/688334/1294140/-/bfkse3z/-/index.html")</f>
        <v>http://www.monitor.co.ug/News/National/-/688334/1294140/-/bfkse3z/-/index.html</v>
      </c>
    </row>
    <row r="610" spans="1:4" ht="15">
      <c r="A610" s="3" t="s">
        <v>128</v>
      </c>
      <c r="B610" s="4" t="s">
        <v>159</v>
      </c>
      <c r="C610" s="4" t="s">
        <v>128</v>
      </c>
      <c r="D610" s="3" t="str">
        <f>HYPERLINK("http://www.monitor.co.ug/News/Education/-/688336/729848/-/10eh864/-/index.html")</f>
        <v>http://www.monitor.co.ug/News/Education/-/688336/729848/-/10eh864/-/index.html</v>
      </c>
    </row>
    <row r="611" spans="1:4" ht="15">
      <c r="A611" s="3" t="s">
        <v>128</v>
      </c>
      <c r="B611" s="4" t="s">
        <v>170</v>
      </c>
      <c r="C611" s="4" t="s">
        <v>644</v>
      </c>
      <c r="D611" s="3" t="str">
        <f>HYPERLINK("http://www.newvision.co.ug/news/575095-kcc-project-to-end-bwaise-floods.html")</f>
        <v>http://www.newvision.co.ug/news/575095-kcc-project-to-end-bwaise-floods.html</v>
      </c>
    </row>
    <row r="612" spans="1:4" ht="15">
      <c r="A612" s="3" t="s">
        <v>128</v>
      </c>
      <c r="B612" s="4" t="s">
        <v>170</v>
      </c>
      <c r="C612" s="4" t="s">
        <v>644</v>
      </c>
      <c r="D612" s="3" t="str">
        <f>HYPERLINK("http://www.newvision.co.ug/news/550155-kcc-project-to-end-bwaise-floods.html")</f>
        <v>http://www.newvision.co.ug/news/550155-kcc-project-to-end-bwaise-floods.html</v>
      </c>
    </row>
    <row r="613" spans="1:4" ht="15">
      <c r="A613" s="3" t="s">
        <v>128</v>
      </c>
      <c r="B613" s="4" t="s">
        <v>188</v>
      </c>
      <c r="C613" s="4" t="s">
        <v>568</v>
      </c>
      <c r="D613" s="3" t="str">
        <f>HYPERLINK("http://www.monitor.co.ug/News/National/-/688334/866952/-/wilpbp/-/index.html")</f>
        <v>http://www.monitor.co.ug/News/National/-/688334/866952/-/wilpbp/-/index.html</v>
      </c>
    </row>
    <row r="614" spans="1:4" ht="15">
      <c r="A614" s="3" t="s">
        <v>128</v>
      </c>
      <c r="B614" s="4" t="s">
        <v>288</v>
      </c>
      <c r="C614" s="4" t="s">
        <v>128</v>
      </c>
      <c r="D614" s="3" t="str">
        <f>HYPERLINK("http://www.monitor.co.ug/News/National/-/688334/1333236/-/b07yknz/-/index.html")</f>
        <v>http://www.monitor.co.ug/News/National/-/688334/1333236/-/b07yknz/-/index.html</v>
      </c>
    </row>
    <row r="615" spans="1:4" ht="15">
      <c r="A615" s="3" t="s">
        <v>128</v>
      </c>
      <c r="B615" s="4" t="s">
        <v>242</v>
      </c>
      <c r="C615" s="4" t="s">
        <v>128</v>
      </c>
      <c r="D615" s="3" t="str">
        <f>HYPERLINK("http://www.newvision.co.ug/news/324023-five-dead-3-injured-in-friday-floods.html")</f>
        <v>http://www.newvision.co.ug/news/324023-five-dead-3-injured-in-friday-floods.html</v>
      </c>
    </row>
    <row r="616" spans="1:4" ht="15">
      <c r="A616" s="3" t="s">
        <v>128</v>
      </c>
      <c r="B616" s="4" t="s">
        <v>336</v>
      </c>
      <c r="C616" s="4" t="s">
        <v>726</v>
      </c>
      <c r="D616" s="3" t="str">
        <f>HYPERLINK("http://www.monitor.co.ug/artsculture/Reviews/Uganda-in-2013--the-first-100-days/-/691232/1755892/-/ei0dto/-/index.html")</f>
        <v>http://www.monitor.co.ug/artsculture/Reviews/Uganda-in-2013--the-first-100-days/-/691232/1755892/-/ei0dto/-/index.html</v>
      </c>
    </row>
    <row r="617" spans="1:4" ht="15">
      <c r="A617" s="3" t="s">
        <v>128</v>
      </c>
      <c r="B617" s="4" t="s">
        <v>396</v>
      </c>
      <c r="C617" s="4" t="s">
        <v>128</v>
      </c>
      <c r="D617" s="3" t="str">
        <f>HYPERLINK("http://www.monitor.co.ug/SpecialReports/-ban-kaveera--stand---test--time/-/688342/2694552/-/90x5mmz/-/index.html")</f>
        <v>http://www.monitor.co.ug/SpecialReports/-ban-kaveera--stand---test--time/-/688342/2694552/-/90x5mmz/-/index.html</v>
      </c>
    </row>
    <row r="618" spans="1:4" ht="15">
      <c r="A618" s="3" t="s">
        <v>128</v>
      </c>
      <c r="B618" s="4" t="s">
        <v>295</v>
      </c>
      <c r="C618" s="4" t="s">
        <v>128</v>
      </c>
      <c r="D618" s="3" t="str">
        <f>HYPERLINK("http://www.monitor.co.ug/News/National/Govt-sorry-for-collapsed-bridges/-/688334/1411262/-/ug816c/-/index.html")</f>
        <v>http://www.monitor.co.ug/News/National/Govt-sorry-for-collapsed-bridges/-/688334/1411262/-/ug816c/-/index.html</v>
      </c>
    </row>
    <row r="619" spans="1:4" ht="15">
      <c r="A619" s="3" t="s">
        <v>128</v>
      </c>
      <c r="B619" s="4" t="s">
        <v>295</v>
      </c>
      <c r="C619" s="4" t="s">
        <v>693</v>
      </c>
      <c r="D619" s="3" t="str">
        <f>HYPERLINK("http://www.monitor.co.ug/Magazines/HomesandProperty/Cut-down-your-home-garbage-management-cost/-/689858/1411364/-/txlnh5z/-/index.html")</f>
        <v>http://www.monitor.co.ug/Magazines/HomesandProperty/Cut-down-your-home-garbage-management-cost/-/689858/1411364/-/txlnh5z/-/index.html</v>
      </c>
    </row>
    <row r="620" spans="1:4" ht="15">
      <c r="A620" s="3" t="s">
        <v>128</v>
      </c>
      <c r="B620" s="4" t="s">
        <v>370</v>
      </c>
      <c r="C620" s="4" t="s">
        <v>128</v>
      </c>
      <c r="D620" s="3" t="str">
        <f>HYPERLINK("http://www.monitor.co.ug/OpEd/Commentary/Why-the-NRM-party-is-here-for-the-long-haul/-/689364/2324408/-/rfkam1/-/index.html")</f>
        <v>http://www.monitor.co.ug/OpEd/Commentary/Why-the-NRM-party-is-here-for-the-long-haul/-/689364/2324408/-/rfkam1/-/index.html</v>
      </c>
    </row>
    <row r="621" spans="1:4" ht="15">
      <c r="A621" s="3" t="s">
        <v>128</v>
      </c>
      <c r="B621" s="4" t="s">
        <v>370</v>
      </c>
      <c r="C621" s="4" t="s">
        <v>714</v>
      </c>
      <c r="D621" s="3" t="str">
        <f>HYPERLINK("http://www.monitor.co.ug/News/National/Opinion-poll--Lukwago-still-has-strong-backing-in-Kampala/-/688334/2323850/-/7rhn4iz/-/index.html")</f>
        <v>http://www.monitor.co.ug/News/National/Opinion-poll--Lukwago-still-has-strong-backing-in-Kampala/-/688334/2323850/-/7rhn4iz/-/index.html</v>
      </c>
    </row>
    <row r="622" spans="1:4" ht="15">
      <c r="A622" s="3" t="s">
        <v>128</v>
      </c>
      <c r="B622" s="4" t="s">
        <v>133</v>
      </c>
      <c r="C622" s="4" t="s">
        <v>128</v>
      </c>
      <c r="D622" s="3" t="str">
        <f>HYPERLINK("http://www.newvision.co.ug/news/590661-kcc-seeks-sh140b-to-fight-floods.html")</f>
        <v>http://www.newvision.co.ug/news/590661-kcc-seeks-sh140b-to-fight-floods.html</v>
      </c>
    </row>
    <row r="623" spans="1:4" ht="15">
      <c r="A623" s="3" t="s">
        <v>128</v>
      </c>
      <c r="B623" s="4" t="s">
        <v>176</v>
      </c>
      <c r="C623" s="4" t="s">
        <v>128</v>
      </c>
      <c r="D623" s="3" t="str">
        <f>HYPERLINK("http://www.newvision.co.ug/news/539912-police-accuses-dp-of-breaching-law.html")</f>
        <v>http://www.newvision.co.ug/news/539912-police-accuses-dp-of-breaching-law.html</v>
      </c>
    </row>
    <row r="624" spans="1:4" ht="15">
      <c r="A624" s="3" t="s">
        <v>128</v>
      </c>
      <c r="B624" s="4" t="s">
        <v>176</v>
      </c>
      <c r="C624" s="4" t="s">
        <v>128</v>
      </c>
      <c r="D624" s="3" t="str">
        <f>HYPERLINK("http://www.newvision.co.ug/news/564852-police-accuses-dp-of-breaching-law.html")</f>
        <v>http://www.newvision.co.ug/news/564852-police-accuses-dp-of-breaching-law.html</v>
      </c>
    </row>
    <row r="625" spans="1:4" ht="15">
      <c r="A625" s="3" t="s">
        <v>128</v>
      </c>
      <c r="B625" s="4" t="s">
        <v>176</v>
      </c>
      <c r="C625" s="4" t="s">
        <v>599</v>
      </c>
      <c r="D625" s="3" t="str">
        <f>HYPERLINK("http://www.monitor.co.ug/News/Education/-/688336/713774/-/10dqhmu/-/index.html")</f>
        <v>http://www.monitor.co.ug/News/Education/-/688336/713774/-/10dqhmu/-/index.html</v>
      </c>
    </row>
    <row r="626" spans="1:4" ht="15">
      <c r="A626" s="3" t="s">
        <v>128</v>
      </c>
      <c r="B626" s="4" t="s">
        <v>221</v>
      </c>
      <c r="C626" s="4" t="s">
        <v>726</v>
      </c>
      <c r="D626" s="3" t="str">
        <f>HYPERLINK("http://www.newvision.co.ug/news/612643-stern-action-needed-to-end-city-floods.html")</f>
        <v>http://www.newvision.co.ug/news/612643-stern-action-needed-to-end-city-floods.html</v>
      </c>
    </row>
    <row r="627" spans="1:4" ht="15">
      <c r="A627" s="3" t="s">
        <v>128</v>
      </c>
      <c r="B627" s="4" t="s">
        <v>282</v>
      </c>
      <c r="C627" s="4" t="s">
        <v>680</v>
      </c>
      <c r="D627" s="3" t="str">
        <f>HYPERLINK("http://www.monitor.co.ug/News/National/-/688334/1312936/-/b1gl79z/-/index.html")</f>
        <v>http://www.monitor.co.ug/News/National/-/688334/1312936/-/b1gl79z/-/index.html</v>
      </c>
    </row>
    <row r="628" spans="1:4" ht="15">
      <c r="A628" s="3" t="s">
        <v>128</v>
      </c>
      <c r="B628" s="4" t="s">
        <v>322</v>
      </c>
      <c r="C628" s="4" t="s">
        <v>128</v>
      </c>
      <c r="D628" s="3" t="str">
        <f>HYPERLINK("http://www.monitor.co.ug/OpEd/Letters/Pioneer-Easy-Bus-should-reconsider-its-initial-operational-terms/-/806314/1627464/-/2vkgpr/-/index.html")</f>
        <v>http://www.monitor.co.ug/OpEd/Letters/Pioneer-Easy-Bus-should-reconsider-its-initial-operational-terms/-/806314/1627464/-/2vkgpr/-/index.html</v>
      </c>
    </row>
    <row r="629" spans="1:4" ht="15">
      <c r="A629" s="3" t="s">
        <v>128</v>
      </c>
      <c r="B629" s="4" t="s">
        <v>386</v>
      </c>
      <c r="C629" s="4" t="s">
        <v>128</v>
      </c>
      <c r="D629" s="3" t="str">
        <f>HYPERLINK("http://www.newvision.co.ug/news/662141-city-floods-body-of-woman-who-drowned-found.html")</f>
        <v>http://www.newvision.co.ug/news/662141-city-floods-body-of-woman-who-drowned-found.html</v>
      </c>
    </row>
    <row r="630" spans="1:4" ht="15">
      <c r="A630" s="3" t="s">
        <v>128</v>
      </c>
      <c r="B630" s="4" t="s">
        <v>330</v>
      </c>
      <c r="C630" s="4" t="s">
        <v>603</v>
      </c>
      <c r="D630" s="3" t="str">
        <f>HYPERLINK("http://www.newvision.co.ug/news/640105-kiryandongo-gets-sh307m-from-mtn-kampala-marathon.html")</f>
        <v>http://www.newvision.co.ug/news/640105-kiryandongo-gets-sh307m-from-mtn-kampala-marathon.html</v>
      </c>
    </row>
    <row r="631" spans="1:4" ht="15">
      <c r="A631" s="3" t="s">
        <v>128</v>
      </c>
      <c r="B631" s="4" t="s">
        <v>101</v>
      </c>
      <c r="C631" s="4" t="s">
        <v>128</v>
      </c>
      <c r="D631" s="3" t="str">
        <f>HYPERLINK("http://www.newvision.co.ug/news/325765-there-will-be-no-floods-Ã¢-experts.html")</f>
        <v>http://www.newvision.co.ug/news/325765-there-will-be-no-floods-Ã¢-experts.html</v>
      </c>
    </row>
    <row r="632" spans="1:4" ht="15">
      <c r="A632" s="3" t="s">
        <v>128</v>
      </c>
      <c r="B632" s="4" t="s">
        <v>203</v>
      </c>
      <c r="C632" s="4" t="s">
        <v>602</v>
      </c>
      <c r="D632" s="3" t="str">
        <f>HYPERLINK("http://www.monitor.co.ug/News/National/-/688334/905372/-/wxydpf/-/index.html")</f>
        <v>http://www.monitor.co.ug/News/National/-/688334/905372/-/wxydpf/-/index.html</v>
      </c>
    </row>
    <row r="633" spans="1:4" ht="15">
      <c r="A633" s="3" t="s">
        <v>128</v>
      </c>
      <c r="B633" s="4" t="s">
        <v>203</v>
      </c>
      <c r="C633" s="4" t="s">
        <v>630</v>
      </c>
      <c r="D633" s="3" t="str">
        <f>HYPERLINK("http://www.monitor.co.ug/OpEd/Letters/-/806314/905086/-/2f3e37z/-/index.html")</f>
        <v>http://www.monitor.co.ug/OpEd/Letters/-/806314/905086/-/2f3e37z/-/index.html</v>
      </c>
    </row>
    <row r="634" spans="1:4" ht="15">
      <c r="A634" s="3" t="s">
        <v>128</v>
      </c>
      <c r="B634" s="4" t="s">
        <v>243</v>
      </c>
      <c r="C634" s="4" t="s">
        <v>128</v>
      </c>
      <c r="D634" s="3" t="str">
        <f>HYPERLINK("http://www.monitor.co.ug/News/Insight/-/688338/1149542/-/r581g7/-/index.html")</f>
        <v>http://www.monitor.co.ug/News/Insight/-/688338/1149542/-/r581g7/-/index.html</v>
      </c>
    </row>
    <row r="635" spans="1:4" ht="15">
      <c r="A635" s="3" t="s">
        <v>128</v>
      </c>
      <c r="B635" s="4" t="s">
        <v>129</v>
      </c>
      <c r="C635" s="4" t="s">
        <v>128</v>
      </c>
      <c r="D635" s="3" t="str">
        <f>HYPERLINK("http://www.newvision.co.ug/news/346488-kcc-control-dumping.html")</f>
        <v>http://www.newvision.co.ug/news/346488-kcc-control-dumping.html</v>
      </c>
    </row>
    <row r="636" spans="1:4" ht="15">
      <c r="A636" s="3" t="s">
        <v>128</v>
      </c>
      <c r="B636" s="4" t="s">
        <v>371</v>
      </c>
      <c r="C636" s="4" t="s">
        <v>578</v>
      </c>
      <c r="D636" s="3" t="str">
        <f>HYPERLINK("http://www.monitor.co.ug/SpecialReports/Lt-Col-Abdu-Kisuule--Uganda-did-not-invade-Tanzania/-/688342/2324550/-/peyt7yz/-/index.html")</f>
        <v>http://www.monitor.co.ug/SpecialReports/Lt-Col-Abdu-Kisuule--Uganda-did-not-invade-Tanzania/-/688342/2324550/-/peyt7yz/-/index.html</v>
      </c>
    </row>
    <row r="637" spans="1:4" ht="15">
      <c r="A637" s="3" t="s">
        <v>128</v>
      </c>
      <c r="B637" s="4" t="s">
        <v>343</v>
      </c>
      <c r="C637" s="4" t="s">
        <v>128</v>
      </c>
      <c r="D637" s="3" t="str">
        <f>HYPERLINK("http://www.monitor.co.ug/SpecialReports/Pakwach-Railway-line--The-ignored-link-to-development/-/688342/1924710/-/pnhke2/-/index.html")</f>
        <v>http://www.monitor.co.ug/SpecialReports/Pakwach-Railway-line--The-ignored-link-to-development/-/688342/1924710/-/pnhke2/-/index.html</v>
      </c>
    </row>
    <row r="638" spans="1:4" ht="15">
      <c r="A638" s="3" t="s">
        <v>128</v>
      </c>
      <c r="B638" s="4" t="s">
        <v>378</v>
      </c>
      <c r="C638" s="4" t="s">
        <v>717</v>
      </c>
      <c r="D638" s="3" t="str">
        <f>HYPERLINK("http://www.monitor.co.ug/OpEd/Commentary/Water-transport-can-cut-Kampala-s-travel-costs/-/689364/2428168/-/liaaww/-/index.html")</f>
        <v>http://www.monitor.co.ug/OpEd/Commentary/Water-transport-can-cut-Kampala-s-travel-costs/-/689364/2428168/-/liaaww/-/index.html</v>
      </c>
    </row>
    <row r="639" spans="1:4" ht="15">
      <c r="A639" s="3" t="s">
        <v>128</v>
      </c>
      <c r="B639" s="4" t="s">
        <v>9</v>
      </c>
      <c r="C639" s="4" t="s">
        <v>128</v>
      </c>
      <c r="D639" s="3" t="str">
        <f>HYPERLINK("http://www.monitor.co.ug/Business/Prosper/-/688616/781228/-/k09tcnz/-/index.html")</f>
        <v>http://www.monitor.co.ug/Business/Prosper/-/688616/781228/-/k09tcnz/-/index.html</v>
      </c>
    </row>
    <row r="640" spans="1:4" ht="15">
      <c r="A640" s="3" t="s">
        <v>128</v>
      </c>
      <c r="B640" s="4" t="s">
        <v>9</v>
      </c>
      <c r="C640" s="4" t="s">
        <v>128</v>
      </c>
      <c r="D640" s="3" t="str">
        <f>HYPERLINK("http://www.monitor.co.ug/Magazines/Life/-/689856/780710/-/10sksnnz/-/index.html")</f>
        <v>http://www.monitor.co.ug/Magazines/Life/-/689856/780710/-/10sksnnz/-/index.html</v>
      </c>
    </row>
    <row r="641" spans="1:4" ht="15">
      <c r="A641" s="3" t="s">
        <v>128</v>
      </c>
      <c r="B641" s="4" t="s">
        <v>380</v>
      </c>
      <c r="C641" s="4" t="s">
        <v>128</v>
      </c>
      <c r="D641" s="3" t="str">
        <f>HYPERLINK("http://www.monitor.co.ug/Magazines/Farming/They-are-making-a-change-with-bees-and-honey-/-/689860/2463774/-/rii35w/-/index.html")</f>
        <v>http://www.monitor.co.ug/Magazines/Farming/They-are-making-a-change-with-bees-and-honey-/-/689860/2463774/-/rii35w/-/index.html</v>
      </c>
    </row>
    <row r="642" spans="1:4" ht="15">
      <c r="A642" s="3" t="s">
        <v>128</v>
      </c>
      <c r="B642" s="4" t="s">
        <v>359</v>
      </c>
      <c r="C642" s="4" t="s">
        <v>128</v>
      </c>
      <c r="D642" s="3" t="str">
        <f>HYPERLINK("http://www.monitor.co.ug/OpEd/Letters/Create-regional-cities-to-ease-Kampala-s-load/-/806314/2158916/-/tiiawy/-/index.html")</f>
        <v>http://www.monitor.co.ug/OpEd/Letters/Create-regional-cities-to-ease-Kampala-s-load/-/806314/2158916/-/tiiawy/-/index.html</v>
      </c>
    </row>
    <row r="643" spans="1:4" ht="15">
      <c r="A643" s="3" t="s">
        <v>128</v>
      </c>
      <c r="B643" s="4" t="s">
        <v>227</v>
      </c>
      <c r="C643" s="4" t="s">
        <v>603</v>
      </c>
      <c r="D643" s="3" t="str">
        <f>HYPERLINK("http://www.monitor.co.ug/News/National/-/688334/1039500/-/cmbxlbz/-/index.html")</f>
        <v>http://www.monitor.co.ug/News/National/-/688334/1039500/-/cmbxlbz/-/index.html</v>
      </c>
    </row>
    <row r="644" spans="1:4" ht="15">
      <c r="A644" s="3" t="s">
        <v>128</v>
      </c>
      <c r="B644" s="4" t="s">
        <v>137</v>
      </c>
      <c r="C644" s="4" t="s">
        <v>622</v>
      </c>
      <c r="D644" s="3" t="str">
        <f>HYPERLINK("http://www.newvision.co.ug/news/408733-rains-cut-off-kampala-suburbs.html")</f>
        <v>http://www.newvision.co.ug/news/408733-rains-cut-off-kampala-suburbs.html</v>
      </c>
    </row>
    <row r="645" spans="1:4" ht="15">
      <c r="A645" s="3" t="s">
        <v>128</v>
      </c>
      <c r="B645" s="4" t="s">
        <v>180</v>
      </c>
      <c r="C645" s="4" t="s">
        <v>128</v>
      </c>
      <c r="D645" s="3" t="str">
        <f>HYPERLINK("http://www.monitor.co.ug/Magazines/Farming/-/689860/812850/-/wqod5b/-/index.html")</f>
        <v>http://www.monitor.co.ug/Magazines/Farming/-/689860/812850/-/wqod5b/-/index.html</v>
      </c>
    </row>
    <row r="646" spans="1:4" ht="15">
      <c r="A646" s="3" t="s">
        <v>128</v>
      </c>
      <c r="B646" s="4" t="s">
        <v>189</v>
      </c>
      <c r="C646" s="4" t="s">
        <v>128</v>
      </c>
      <c r="D646" s="3" t="str">
        <f>HYPERLINK("http://www.monitor.co.ug/News/National/-/688334/868646/-/win1kw/-/index.html")</f>
        <v>http://www.monitor.co.ug/News/National/-/688334/868646/-/win1kw/-/index.html</v>
      </c>
    </row>
    <row r="647" spans="1:4" ht="15">
      <c r="A647" s="3" t="s">
        <v>128</v>
      </c>
      <c r="B647" s="4" t="s">
        <v>391</v>
      </c>
      <c r="C647" s="4" t="s">
        <v>128</v>
      </c>
      <c r="D647" s="3" t="str">
        <f>HYPERLINK("http://www.monitor.co.ug/artsculture/Reviews/-need-invest-today-children/-/691232/2634296/-/nd7y7d/-/index.html")</f>
        <v>http://www.monitor.co.ug/artsculture/Reviews/-need-invest-today-children/-/691232/2634296/-/nd7y7d/-/index.html</v>
      </c>
    </row>
    <row r="648" spans="1:4" ht="15">
      <c r="A648" s="3" t="s">
        <v>128</v>
      </c>
      <c r="B648" s="4" t="s">
        <v>197</v>
      </c>
      <c r="C648" s="4" t="s">
        <v>602</v>
      </c>
      <c r="D648" s="3" t="str">
        <f>HYPERLINK("http://www.monitor.co.ug/News/National/-/688334/886086/-/wjtl50/-/index.html")</f>
        <v>http://www.monitor.co.ug/News/National/-/688334/886086/-/wjtl50/-/index.html</v>
      </c>
    </row>
    <row r="649" spans="1:4" ht="15">
      <c r="A649" s="3" t="s">
        <v>128</v>
      </c>
      <c r="B649" s="4" t="s">
        <v>290</v>
      </c>
      <c r="C649" s="4" t="s">
        <v>567</v>
      </c>
      <c r="D649" s="3" t="str">
        <f>HYPERLINK("http://www.monitor.co.ug/Magazines/Life/-/689856/1372158/-/calwnt/-/index.html")</f>
        <v>http://www.monitor.co.ug/Magazines/Life/-/689856/1372158/-/calwnt/-/index.html</v>
      </c>
    </row>
    <row r="650" spans="1:4" ht="15">
      <c r="A650" s="3" t="s">
        <v>128</v>
      </c>
      <c r="B650" s="4" t="s">
        <v>365</v>
      </c>
      <c r="C650" s="4" t="s">
        <v>128</v>
      </c>
      <c r="D650" s="3" t="str">
        <f>HYPERLINK("http://www.monitor.co.ug/News/National/NRM-dragged-to-court-over-failure-to-pay-rent/-/688334/2257152/-/ewhccfz/-/index.html")</f>
        <v>http://www.monitor.co.ug/News/National/NRM-dragged-to-court-over-failure-to-pay-rent/-/688334/2257152/-/ewhccfz/-/index.html</v>
      </c>
    </row>
    <row r="651" spans="1:4" ht="15">
      <c r="A651" s="3" t="s">
        <v>128</v>
      </c>
      <c r="B651" s="4" t="s">
        <v>204</v>
      </c>
      <c r="C651" s="4" t="s">
        <v>659</v>
      </c>
      <c r="D651" s="3" t="str">
        <f>HYPERLINK("http://www.monitor.co.ug/OpEd/Commentary/-/689364/905832/-/a2txfez/-/index.html")</f>
        <v>http://www.monitor.co.ug/OpEd/Commentary/-/689364/905832/-/a2txfez/-/index.html</v>
      </c>
    </row>
    <row r="652" spans="1:4" ht="15">
      <c r="A652" s="3" t="s">
        <v>128</v>
      </c>
      <c r="B652" s="4" t="s">
        <v>99</v>
      </c>
      <c r="C652" s="4" t="s">
        <v>128</v>
      </c>
      <c r="D652" s="3" t="str">
        <f>HYPERLINK("http://www.monitor.co.ug/News/National/-/688334/924844/-/x06v1k/-/index.html")</f>
        <v>http://www.monitor.co.ug/News/National/-/688334/924844/-/x06v1k/-/index.html</v>
      </c>
    </row>
    <row r="653" spans="1:4" ht="15">
      <c r="A653" s="3" t="s">
        <v>128</v>
      </c>
      <c r="B653" s="4" t="s">
        <v>300</v>
      </c>
      <c r="C653" s="4" t="s">
        <v>612</v>
      </c>
      <c r="D653" s="3" t="str">
        <f>HYPERLINK("http://www.monitor.co.ug/News/National/10-people-feared-dead-in-Bududa-landslide/-/688334/1435372/-/eh3kvu/-/index.html")</f>
        <v>http://www.monitor.co.ug/News/National/10-people-feared-dead-in-Bududa-landslide/-/688334/1435372/-/eh3kvu/-/index.html</v>
      </c>
    </row>
    <row r="654" spans="1:4" ht="15">
      <c r="A654" s="3" t="s">
        <v>128</v>
      </c>
      <c r="B654" s="4" t="s">
        <v>300</v>
      </c>
      <c r="C654" s="4" t="s">
        <v>694</v>
      </c>
      <c r="D654" s="3" t="str">
        <f>HYPERLINK("http://www.newvision.co.ug/news/632325-kampala-city-centre-floods.html")</f>
        <v>http://www.newvision.co.ug/news/632325-kampala-city-centre-floods.html</v>
      </c>
    </row>
    <row r="655" spans="1:4" ht="15">
      <c r="A655" s="3" t="s">
        <v>128</v>
      </c>
      <c r="B655" s="4" t="s">
        <v>373</v>
      </c>
      <c r="C655" s="4" t="s">
        <v>128</v>
      </c>
      <c r="D655" s="3" t="str">
        <f>HYPERLINK("http://www.monitor.co.ug/Magazines/HomesandProperty/Know-your-hood--Nateete-Western-Uganda-s-gateway-to-Kampala/-/689858/2360428/-/6hfero/-/index.html")</f>
        <v>http://www.monitor.co.ug/Magazines/HomesandProperty/Know-your-hood--Nateete-Western-Uganda-s-gateway-to-Kampala/-/689858/2360428/-/6hfero/-/index.html</v>
      </c>
    </row>
    <row r="656" spans="1:4" ht="15">
      <c r="A656" s="3" t="s">
        <v>128</v>
      </c>
      <c r="B656" s="4" t="s">
        <v>165</v>
      </c>
      <c r="C656" s="4" t="s">
        <v>640</v>
      </c>
      <c r="D656" s="3" t="str">
        <f>HYPERLINK("http://www.monitor.co.ug/News/Education/-/688336/744988/-/10flu8v/-/index.html")</f>
        <v>http://www.monitor.co.ug/News/Education/-/688336/744988/-/10flu8v/-/index.html</v>
      </c>
    </row>
    <row r="657" spans="1:4" ht="15">
      <c r="A657" s="3" t="s">
        <v>128</v>
      </c>
      <c r="B657" s="4" t="s">
        <v>218</v>
      </c>
      <c r="C657" s="4" t="s">
        <v>128</v>
      </c>
      <c r="D657" s="3" t="str">
        <f>HYPERLINK("http://www.monitor.co.ug/Magazines/PeoplePower/-/689844/963988/-/5sftvc/-/index.html")</f>
        <v>http://www.monitor.co.ug/Magazines/PeoplePower/-/689844/963988/-/5sftvc/-/index.html</v>
      </c>
    </row>
    <row r="658" spans="1:4" ht="15">
      <c r="A658" s="3" t="s">
        <v>128</v>
      </c>
      <c r="B658" s="4" t="s">
        <v>306</v>
      </c>
      <c r="C658" s="4" t="s">
        <v>558</v>
      </c>
      <c r="D658" s="3" t="str">
        <f>HYPERLINK("http://www.monitor.co.ug/artsculture/Reviews/Karamoja--forgotten-but-still-beautiful-and-captivating/-/691232/1462342/-/hlxvbdz/-/index.html")</f>
        <v>http://www.monitor.co.ug/artsculture/Reviews/Karamoja--forgotten-but-still-beautiful-and-captivating/-/691232/1462342/-/hlxvbdz/-/index.html</v>
      </c>
    </row>
    <row r="659" spans="1:4" ht="15">
      <c r="A659" s="3" t="s">
        <v>128</v>
      </c>
      <c r="B659" s="4" t="s">
        <v>18</v>
      </c>
      <c r="C659" s="4" t="s">
        <v>128</v>
      </c>
      <c r="D659" s="3" t="str">
        <f>HYPERLINK("http://www.monitor.co.ug/Magazines/PeoplePower/-/689844/782194/-/4qhkmf/-/index.html")</f>
        <v>http://www.monitor.co.ug/Magazines/PeoplePower/-/689844/782194/-/4qhkmf/-/index.html</v>
      </c>
    </row>
    <row r="660" spans="1:4" ht="15">
      <c r="A660" s="3" t="s">
        <v>128</v>
      </c>
      <c r="B660" s="4" t="s">
        <v>18</v>
      </c>
      <c r="C660" s="4" t="s">
        <v>128</v>
      </c>
      <c r="D660" s="3" t="str">
        <f>HYPERLINK("http://www.monitor.co.ug/News/National/-/688334/782390/-/w0o5hn/-/index.html")</f>
        <v>http://www.monitor.co.ug/News/National/-/688334/782390/-/w0o5hn/-/index.html</v>
      </c>
    </row>
    <row r="661" spans="1:4" ht="15">
      <c r="A661" s="3" t="s">
        <v>128</v>
      </c>
      <c r="B661" s="4" t="s">
        <v>18</v>
      </c>
      <c r="C661" s="4" t="s">
        <v>128</v>
      </c>
      <c r="D661" s="3" t="str">
        <f>HYPERLINK("http://www.monitor.co.ug/News/National/-/688334/782660/-/w0o7rd/-/index.html")</f>
        <v>http://www.monitor.co.ug/News/National/-/688334/782660/-/w0o7rd/-/index.html</v>
      </c>
    </row>
    <row r="662" spans="1:4" ht="15">
      <c r="A662" s="3" t="s">
        <v>128</v>
      </c>
      <c r="B662" s="4" t="s">
        <v>18</v>
      </c>
      <c r="C662" s="4" t="s">
        <v>562</v>
      </c>
      <c r="D662" s="3" t="str">
        <f>HYPERLINK("http://www.monitor.co.ug/News/Education/-/688336/783740/-/10i29ta/-/index.html")</f>
        <v>http://www.monitor.co.ug/News/Education/-/688336/783740/-/10i29ta/-/index.html</v>
      </c>
    </row>
    <row r="663" spans="1:4" ht="15">
      <c r="A663" s="3" t="s">
        <v>128</v>
      </c>
      <c r="B663" s="4" t="s">
        <v>86</v>
      </c>
      <c r="C663" s="4" t="s">
        <v>128</v>
      </c>
      <c r="D663" s="3" t="str">
        <f>HYPERLINK("http://www.monitor.co.ug/News/National/Slums-get-Shs24b-housing-project/-/688334/1516356/-/rfb2qlz/-/index.html")</f>
        <v>http://www.monitor.co.ug/News/National/Slums-get-Shs24b-housing-project/-/688334/1516356/-/rfb2qlz/-/index.html</v>
      </c>
    </row>
    <row r="664" spans="1:4" ht="15">
      <c r="A664" s="3" t="s">
        <v>128</v>
      </c>
      <c r="B664" s="4" t="s">
        <v>86</v>
      </c>
      <c r="C664" s="4" t="s">
        <v>128</v>
      </c>
      <c r="D664" s="3" t="str">
        <f>HYPERLINK("http://www.monitor.co.ug/News/National/KCCA-to-demolish-12-buildings/-/688334/1516354/-/lrarje/-/index.html")</f>
        <v>http://www.monitor.co.ug/News/National/KCCA-to-demolish-12-buildings/-/688334/1516354/-/lrarje/-/index.html</v>
      </c>
    </row>
    <row r="665" spans="1:4" ht="15">
      <c r="A665" s="3" t="s">
        <v>128</v>
      </c>
      <c r="B665" s="4" t="s">
        <v>156</v>
      </c>
      <c r="C665" s="4" t="s">
        <v>550</v>
      </c>
      <c r="D665" s="3" t="str">
        <f>HYPERLINK("http://www.monitor.co.ug/News/National/-/688334/726870/-/vw2s9y/-/index.html")</f>
        <v>http://www.monitor.co.ug/News/National/-/688334/726870/-/vw2s9y/-/index.html</v>
      </c>
    </row>
    <row r="666" spans="1:4" ht="15">
      <c r="A666" s="3" t="s">
        <v>128</v>
      </c>
      <c r="B666" s="4" t="s">
        <v>283</v>
      </c>
      <c r="C666" s="4" t="s">
        <v>128</v>
      </c>
      <c r="D666" s="3" t="str">
        <f>HYPERLINK("http://www.monitor.co.ug/News/National/-/688334/1314114/-/b1fdvez/-/index.html")</f>
        <v>http://www.monitor.co.ug/News/National/-/688334/1314114/-/b1fdvez/-/index.html</v>
      </c>
    </row>
    <row r="667" spans="1:4" ht="15">
      <c r="A667" s="3" t="s">
        <v>128</v>
      </c>
      <c r="B667" s="4" t="s">
        <v>283</v>
      </c>
      <c r="C667" s="4" t="s">
        <v>571</v>
      </c>
      <c r="D667" s="3" t="str">
        <f>HYPERLINK("http://www.monitor.co.ug/News/National/-/688334/1314020/-/b1fen3z/-/index.html")</f>
        <v>http://www.monitor.co.ug/News/National/-/688334/1314020/-/b1fen3z/-/index.html</v>
      </c>
    </row>
    <row r="668" spans="1:4" ht="15">
      <c r="A668" s="3" t="s">
        <v>128</v>
      </c>
      <c r="B668" s="4" t="s">
        <v>318</v>
      </c>
      <c r="C668" s="4" t="s">
        <v>603</v>
      </c>
      <c r="D668" s="3" t="str">
        <f>HYPERLINK("http://www.monitor.co.ug/News/National/How-OPM-staff-stole-from-the-poor/-/688334/1598494/-/1314nbsz/-/index.html")</f>
        <v>http://www.monitor.co.ug/News/National/How-OPM-staff-stole-from-the-poor/-/688334/1598494/-/1314nbsz/-/index.html</v>
      </c>
    </row>
    <row r="669" spans="1:4" ht="15">
      <c r="A669" s="3" t="s">
        <v>128</v>
      </c>
      <c r="B669" s="4" t="s">
        <v>331</v>
      </c>
      <c r="C669" s="4" t="s">
        <v>128</v>
      </c>
      <c r="D669" s="3" t="str">
        <f>HYPERLINK("http://www.monitor.co.ug/News/National/-/688334/1704596/-/8upvhrz/-/index.html")</f>
        <v>http://www.monitor.co.ug/News/National/-/688334/1704596/-/8upvhrz/-/index.html</v>
      </c>
    </row>
    <row r="670" spans="1:4" ht="15">
      <c r="A670" s="3" t="s">
        <v>128</v>
      </c>
      <c r="B670" s="4" t="s">
        <v>163</v>
      </c>
      <c r="C670" s="4" t="s">
        <v>128</v>
      </c>
      <c r="D670" s="3" t="str">
        <f>HYPERLINK("http://www.monitor.co.ug/artsculture/-/691192/736046/-/fbumhlz/-/index.html")</f>
        <v>http://www.monitor.co.ug/artsculture/-/691192/736046/-/fbumhlz/-/index.html</v>
      </c>
    </row>
    <row r="671" spans="1:4" ht="15">
      <c r="A671" s="3" t="s">
        <v>128</v>
      </c>
      <c r="B671" s="4" t="s">
        <v>172</v>
      </c>
      <c r="C671" s="4" t="s">
        <v>128</v>
      </c>
      <c r="D671" s="3" t="str">
        <f>HYPERLINK("http://www.newvision.co.ug/news/570670-gulu-hospital-sues-microcare.html")</f>
        <v>http://www.newvision.co.ug/news/570670-gulu-hospital-sues-microcare.html</v>
      </c>
    </row>
    <row r="672" spans="1:4" ht="15">
      <c r="A672" s="3" t="s">
        <v>128</v>
      </c>
      <c r="B672" s="4" t="s">
        <v>172</v>
      </c>
      <c r="C672" s="4" t="s">
        <v>128</v>
      </c>
      <c r="D672" s="3" t="str">
        <f>HYPERLINK("http://www.newvision.co.ug/news/545730-gulu-hospital-sues-microcare.html")</f>
        <v>http://www.newvision.co.ug/news/545730-gulu-hospital-sues-microcare.html</v>
      </c>
    </row>
    <row r="673" spans="1:4" ht="15">
      <c r="A673" s="3" t="s">
        <v>128</v>
      </c>
      <c r="B673" s="4" t="s">
        <v>205</v>
      </c>
      <c r="C673" s="4" t="s">
        <v>128</v>
      </c>
      <c r="D673" s="3" t="str">
        <f>HYPERLINK("http://www.monitor.co.ug/SpecialReports/-/688342/906466/-/fv59rh/-/index.html")</f>
        <v>http://www.monitor.co.ug/SpecialReports/-/688342/906466/-/fv59rh/-/index.html</v>
      </c>
    </row>
    <row r="674" spans="1:4" ht="15">
      <c r="A674" s="3" t="s">
        <v>128</v>
      </c>
      <c r="B674" s="4" t="s">
        <v>397</v>
      </c>
      <c r="C674" s="4" t="s">
        <v>128</v>
      </c>
      <c r="D674" s="3" t="str">
        <f>HYPERLINK("http://www.monitor.co.ug/News/National/UPE-school-attached-debt/-/688334/2696836/-/tf2d82/-/index.html")</f>
        <v>http://www.monitor.co.ug/News/National/UPE-school-attached-debt/-/688334/2696836/-/tf2d82/-/index.html</v>
      </c>
    </row>
    <row r="675" spans="1:4" ht="15">
      <c r="A675" s="3" t="s">
        <v>128</v>
      </c>
      <c r="B675" s="4" t="s">
        <v>173</v>
      </c>
      <c r="C675" s="4" t="s">
        <v>128</v>
      </c>
      <c r="D675" s="3" t="str">
        <f>HYPERLINK("http://www.monitor.co.ug/OpEd/Commentary/-/689364/707928/-/b5y0hsz/-/index.html")</f>
        <v>http://www.monitor.co.ug/OpEd/Commentary/-/689364/707928/-/b5y0hsz/-/index.html</v>
      </c>
    </row>
    <row r="676" spans="1:4" ht="15">
      <c r="A676" s="3" t="s">
        <v>128</v>
      </c>
      <c r="B676" s="4" t="s">
        <v>211</v>
      </c>
      <c r="C676" s="4" t="s">
        <v>128</v>
      </c>
      <c r="D676" s="3" t="str">
        <f>HYPERLINK("http://www.monitor.co.ug/News/National/-/688334/925886/-/x07kgc/-/index.html")</f>
        <v>http://www.monitor.co.ug/News/National/-/688334/925886/-/x07kgc/-/index.html</v>
      </c>
    </row>
    <row r="677" spans="1:4" ht="15">
      <c r="A677" s="3" t="s">
        <v>128</v>
      </c>
      <c r="B677" s="4" t="s">
        <v>215</v>
      </c>
      <c r="C677" s="4" t="s">
        <v>128</v>
      </c>
      <c r="D677" s="3" t="str">
        <f>HYPERLINK("http://www.monitor.co.ug/News/National/-/688334/946162/-/x1g712/-/index.html")</f>
        <v>http://www.monitor.co.ug/News/National/-/688334/946162/-/x1g712/-/index.html</v>
      </c>
    </row>
    <row r="678" spans="1:4" ht="15">
      <c r="A678" s="3" t="s">
        <v>128</v>
      </c>
      <c r="B678" s="4" t="s">
        <v>106</v>
      </c>
      <c r="C678" s="4" t="s">
        <v>128</v>
      </c>
      <c r="D678" s="3" t="str">
        <f>HYPERLINK("http://www.monitor.co.ug/News/National/Afternoon-downpour-soaks-city--suburbs/-/688334/1435678/-/n5kbq5z/-/index.html")</f>
        <v>http://www.monitor.co.ug/News/National/Afternoon-downpour-soaks-city--suburbs/-/688334/1435678/-/n5kbq5z/-/index.html</v>
      </c>
    </row>
    <row r="679" spans="1:4" ht="15">
      <c r="A679" s="3" t="s">
        <v>128</v>
      </c>
      <c r="B679" s="4" t="s">
        <v>106</v>
      </c>
      <c r="C679" s="4" t="s">
        <v>563</v>
      </c>
      <c r="D679" s="3" t="str">
        <f>HYPERLINK("http://www.monitor.co.ug/News/National/Landslides-kill-18-in-Bududa--450-missing/-/688334/1435674/-/15k0hdl/-/index.html")</f>
        <v>http://www.monitor.co.ug/News/National/Landslides-kill-18-in-Bududa--450-missing/-/688334/1435674/-/15k0hdl/-/index.html</v>
      </c>
    </row>
    <row r="680" spans="1:4" ht="15">
      <c r="A680" s="3" t="s">
        <v>128</v>
      </c>
      <c r="B680" s="4" t="s">
        <v>42</v>
      </c>
      <c r="C680" s="4" t="s">
        <v>128</v>
      </c>
      <c r="D680" s="3" t="str">
        <f>HYPERLINK("http://www.monitor.co.ug/Magazines/Farming/Positive-outlook-for-food-supply-and-prices/-/689860/1894188/-/10chw6uz/-/index.html")</f>
        <v>http://www.monitor.co.ug/Magazines/Farming/Positive-outlook-for-food-supply-and-prices/-/689860/1894188/-/10chw6uz/-/index.html</v>
      </c>
    </row>
    <row r="681" spans="1:4" ht="15">
      <c r="A681" s="3" t="s">
        <v>128</v>
      </c>
      <c r="B681" s="4" t="s">
        <v>374</v>
      </c>
      <c r="C681" s="4" t="s">
        <v>716</v>
      </c>
      <c r="D681" s="3" t="str">
        <f>HYPERLINK("http://www.monitor.co.ug/News/National/Court-Blocks-sale-of-MP-Ogong-s-house/-/688334/2362322/-/fds1hx/-/index.html")</f>
        <v>http://www.monitor.co.ug/News/National/Court-Blocks-sale-of-MP-Ogong-s-house/-/688334/2362322/-/fds1hx/-/index.html</v>
      </c>
    </row>
    <row r="682" spans="1:4" ht="15">
      <c r="A682" s="3" t="s">
        <v>128</v>
      </c>
      <c r="B682" s="4" t="s">
        <v>307</v>
      </c>
      <c r="C682" s="4" t="s">
        <v>128</v>
      </c>
      <c r="D682" s="3" t="str">
        <f>HYPERLINK("http://www.monitor.co.ug/Sports/Soccer/Rains-leave-Hippos-tie-at-Nakivubo-in-danger/-/690266/1463302/-/a9toui/-/index.html")</f>
        <v>http://www.monitor.co.ug/Sports/Soccer/Rains-leave-Hippos-tie-at-Nakivubo-in-danger/-/690266/1463302/-/a9toui/-/index.html</v>
      </c>
    </row>
    <row r="683" spans="1:4" ht="15">
      <c r="A683" s="3" t="s">
        <v>128</v>
      </c>
      <c r="B683" s="4" t="s">
        <v>66</v>
      </c>
      <c r="C683" s="4" t="s">
        <v>128</v>
      </c>
      <c r="D683" s="3" t="str">
        <f>HYPERLINK("http://www.monitor.co.ug/News/Education/-/688336/748414/-/10foiey/-/index.html")</f>
        <v>http://www.monitor.co.ug/News/Education/-/688336/748414/-/10foiey/-/index.html</v>
      </c>
    </row>
    <row r="684" spans="1:4" ht="15">
      <c r="A684" s="3" t="s">
        <v>128</v>
      </c>
      <c r="B684" s="4" t="s">
        <v>379</v>
      </c>
      <c r="C684" s="4" t="s">
        <v>128</v>
      </c>
      <c r="D684" s="3" t="str">
        <f>HYPERLINK("http://www.monitor.co.ug/OpEd/OpEdColumnists/NicholasSengooba/Lukwago-is-bound-to-be-the-people-s-mayor--not-Lord-Mayor/-/1293432/2430512/-/148082e/-/index.html")</f>
        <v>http://www.monitor.co.ug/OpEd/OpEdColumnists/NicholasSengooba/Lukwago-is-bound-to-be-the-people-s-mayor--not-Lord-Mayor/-/1293432/2430512/-/148082e/-/index.html</v>
      </c>
    </row>
    <row r="685" spans="1:4" ht="15">
      <c r="A685" s="3" t="s">
        <v>128</v>
      </c>
      <c r="B685" s="4" t="s">
        <v>350</v>
      </c>
      <c r="C685" s="4" t="s">
        <v>561</v>
      </c>
      <c r="D685" s="3" t="str">
        <f>HYPERLINK("http://www.monitor.co.ug/artsculture/Reviews/Makerere-University--a-new-crime-hot-spot/-/691232/2007248/-/7610h1z/-/index.html")</f>
        <v>http://www.monitor.co.ug/artsculture/Reviews/Makerere-University--a-new-crime-hot-spot/-/691232/2007248/-/7610h1z/-/index.html</v>
      </c>
    </row>
    <row r="686" spans="1:4" ht="15">
      <c r="A686" s="3" t="s">
        <v>128</v>
      </c>
      <c r="B686" s="4" t="s">
        <v>186</v>
      </c>
      <c r="C686" s="4" t="s">
        <v>128</v>
      </c>
      <c r="D686" s="3" t="str">
        <f>HYPERLINK("http://www.newvision.co.ug/news/626469-upc-reinstates-four-suspended-officials.html")</f>
        <v>http://www.newvision.co.ug/news/626469-upc-reinstates-four-suspended-officials.html</v>
      </c>
    </row>
    <row r="687" spans="1:4" ht="15">
      <c r="A687" s="3" t="s">
        <v>128</v>
      </c>
      <c r="B687" s="4" t="s">
        <v>154</v>
      </c>
      <c r="C687" s="4" t="s">
        <v>562</v>
      </c>
      <c r="D687" s="3" t="str">
        <f>HYPERLINK("http://www.monitor.co.ug/Magazines/PeoplePower/-/689844/797970/-/4r7rcd/-/index.html")</f>
        <v>http://www.monitor.co.ug/Magazines/PeoplePower/-/689844/797970/-/4r7rcd/-/index.html</v>
      </c>
    </row>
    <row r="688" spans="1:4" ht="15">
      <c r="A688" s="3" t="s">
        <v>128</v>
      </c>
      <c r="B688" s="4" t="s">
        <v>154</v>
      </c>
      <c r="C688" s="4" t="s">
        <v>563</v>
      </c>
      <c r="D688" s="3" t="str">
        <f>HYPERLINK("http://www.monitor.co.ug/News/Education/-/688336/797924/-/10iqmij/-/index.html")</f>
        <v>http://www.monitor.co.ug/News/Education/-/688336/797924/-/10iqmij/-/index.html</v>
      </c>
    </row>
    <row r="689" spans="1:4" ht="15">
      <c r="A689" s="3" t="s">
        <v>128</v>
      </c>
      <c r="B689" s="4" t="s">
        <v>274</v>
      </c>
      <c r="C689" s="4" t="s">
        <v>128</v>
      </c>
      <c r="D689" s="3" t="str">
        <f>HYPERLINK("http://www.monitor.co.ug/OpEd/Editorial/-/689360/1279726/-/a3n87l/-/index.html")</f>
        <v>http://www.monitor.co.ug/OpEd/Editorial/-/689360/1279726/-/a3n87l/-/index.html</v>
      </c>
    </row>
    <row r="690" spans="1:4" ht="15">
      <c r="A690" s="3" t="s">
        <v>128</v>
      </c>
      <c r="B690" s="4" t="s">
        <v>30</v>
      </c>
      <c r="C690" s="4" t="s">
        <v>128</v>
      </c>
      <c r="D690" s="3" t="str">
        <f>HYPERLINK("http://www.monitor.co.ug/News/National/Woman-rejects-Shs2m-pay-offer-for-cancelled-wedding/-/688334/1629726/-/2vw5lh/-/index.html")</f>
        <v>http://www.monitor.co.ug/News/National/Woman-rejects-Shs2m-pay-offer-for-cancelled-wedding/-/688334/1629726/-/2vw5lh/-/index.html</v>
      </c>
    </row>
    <row r="691" spans="1:4" ht="15">
      <c r="A691" s="3" t="s">
        <v>128</v>
      </c>
      <c r="B691" s="4" t="s">
        <v>278</v>
      </c>
      <c r="C691" s="4" t="s">
        <v>562</v>
      </c>
      <c r="D691" s="3" t="str">
        <f>HYPERLINK("http://www.monitor.co.ug/OpEd/Commentary/-/689364/1295534/-/12nqjjjz/-/index.html")</f>
        <v>http://www.monitor.co.ug/OpEd/Commentary/-/689364/1295534/-/12nqjjjz/-/index.html</v>
      </c>
    </row>
    <row r="692" spans="1:4" ht="15">
      <c r="A692" s="3" t="s">
        <v>128</v>
      </c>
      <c r="B692" s="4" t="s">
        <v>190</v>
      </c>
      <c r="C692" s="4" t="s">
        <v>128</v>
      </c>
      <c r="D692" s="3" t="str">
        <f>HYPERLINK("http://www.newvision.co.ug/news/624383-make-flood-prevention-immediate-priority.html")</f>
        <v>http://www.newvision.co.ug/news/624383-make-flood-prevention-immediate-priority.html</v>
      </c>
    </row>
    <row r="693" spans="1:4" ht="15">
      <c r="A693" s="3" t="s">
        <v>128</v>
      </c>
      <c r="B693" s="4" t="s">
        <v>239</v>
      </c>
      <c r="C693" s="4" t="s">
        <v>128</v>
      </c>
      <c r="D693" s="3" t="str">
        <f>HYPERLINK("http://www.monitor.co.ug/News/National/-/688334/1133494/-/c3debyz/-/index.html")</f>
        <v>http://www.monitor.co.ug/News/National/-/688334/1133494/-/c3debyz/-/index.html</v>
      </c>
    </row>
    <row r="694" spans="1:4" ht="15">
      <c r="A694" s="3" t="s">
        <v>128</v>
      </c>
      <c r="B694" s="4" t="s">
        <v>105</v>
      </c>
      <c r="C694" s="4" t="s">
        <v>128</v>
      </c>
      <c r="D694" s="3" t="str">
        <f>HYPERLINK("http://www.monitor.co.ug/News/National/-/688334/1374432/-/awq34fz/-/index.html")</f>
        <v>http://www.monitor.co.ug/News/National/-/688334/1374432/-/awq34fz/-/index.html</v>
      </c>
    </row>
    <row r="695" spans="1:4" ht="15">
      <c r="A695" s="3" t="s">
        <v>128</v>
      </c>
      <c r="B695" s="4" t="s">
        <v>244</v>
      </c>
      <c r="C695" s="4" t="s">
        <v>677</v>
      </c>
      <c r="D695" s="3" t="str">
        <f>HYPERLINK("http://www.monitor.co.ug/News/National/-/688334/1151516/-/c26ol9z/-/index.html")</f>
        <v>http://www.monitor.co.ug/News/National/-/688334/1151516/-/c26ol9z/-/index.html</v>
      </c>
    </row>
    <row r="696" spans="1:4" ht="15">
      <c r="A696" s="3" t="s">
        <v>128</v>
      </c>
      <c r="B696" s="4" t="s">
        <v>250</v>
      </c>
      <c r="C696" s="4" t="s">
        <v>680</v>
      </c>
      <c r="D696" s="3" t="str">
        <f>HYPERLINK("http://www.monitor.co.ug/News/National/-/688334/1170080/-/c0yev2z/-/index.html")</f>
        <v>http://www.monitor.co.ug/News/National/-/688334/1170080/-/c0yev2z/-/index.html</v>
      </c>
    </row>
    <row r="697" spans="1:4" ht="15">
      <c r="A697" s="3" t="s">
        <v>128</v>
      </c>
      <c r="B697" s="4" t="s">
        <v>144</v>
      </c>
      <c r="C697" s="4" t="s">
        <v>628</v>
      </c>
      <c r="D697" s="3" t="str">
        <f>HYPERLINK("http://www.newvision.co.ug/news/490540-terrible-drivers.html")</f>
        <v>http://www.newvision.co.ug/news/490540-terrible-drivers.html</v>
      </c>
    </row>
    <row r="698" spans="1:4" ht="15">
      <c r="A698" s="3" t="s">
        <v>128</v>
      </c>
      <c r="B698" s="4" t="s">
        <v>301</v>
      </c>
      <c r="C698" s="4" t="s">
        <v>603</v>
      </c>
      <c r="D698" s="3" t="str">
        <f>HYPERLINK("http://www.monitor.co.ug/News/National/Citizens--MTN-provide-aid-to-landslide-survivors/-/688334/1437774/-/qb6pxvz/-/index.html")</f>
        <v>http://www.monitor.co.ug/News/National/Citizens--MTN-provide-aid-to-landslide-survivors/-/688334/1437774/-/qb6pxvz/-/index.html</v>
      </c>
    </row>
    <row r="699" spans="1:4" ht="15">
      <c r="A699" s="3" t="s">
        <v>128</v>
      </c>
      <c r="B699" s="4" t="s">
        <v>301</v>
      </c>
      <c r="C699" s="4" t="s">
        <v>563</v>
      </c>
      <c r="D699" s="3" t="str">
        <f>HYPERLINK("http://www.monitor.co.ug/News/National/109-missing-as-hopes-for-survivors-diminish/-/688334/1436646/-/w41tkv/-/index.html")</f>
        <v>http://www.monitor.co.ug/News/National/109-missing-as-hopes-for-survivors-diminish/-/688334/1436646/-/w41tkv/-/index.html</v>
      </c>
    </row>
    <row r="700" spans="1:4" ht="15">
      <c r="A700" s="3" t="s">
        <v>128</v>
      </c>
      <c r="B700" s="4" t="s">
        <v>259</v>
      </c>
      <c r="C700" s="4" t="s">
        <v>645</v>
      </c>
      <c r="D700" s="3" t="str">
        <f>HYPERLINK("http://www.monitor.co.ug/News/National/-/688334/1225694/-/bjuraaz/-/index.html")</f>
        <v>http://www.monitor.co.ug/News/National/-/688334/1225694/-/bjuraaz/-/index.html</v>
      </c>
    </row>
    <row r="701" spans="1:4" ht="15">
      <c r="A701" s="3" t="s">
        <v>128</v>
      </c>
      <c r="B701" s="4" t="s">
        <v>148</v>
      </c>
      <c r="C701" s="4" t="s">
        <v>128</v>
      </c>
      <c r="D701" s="3" t="str">
        <f>HYPERLINK("http://www.monitor.co.ug/News/National/-/688334/787234/-/w0rl5u/-/index.html")</f>
        <v>http://www.monitor.co.ug/News/National/-/688334/787234/-/w0rl5u/-/index.html</v>
      </c>
    </row>
    <row r="702" spans="1:4" ht="15">
      <c r="A702" s="3" t="s">
        <v>128</v>
      </c>
      <c r="B702" s="4" t="s">
        <v>59</v>
      </c>
      <c r="C702" s="4" t="s">
        <v>128</v>
      </c>
      <c r="D702" s="3" t="str">
        <f>HYPERLINK("http://www.monitor.co.ug/News/National/-/688334/1243680/-/bio360z/-/index.html")</f>
        <v>http://www.monitor.co.ug/News/National/-/688334/1243680/-/bio360z/-/index.html</v>
      </c>
    </row>
    <row r="703" spans="1:4" ht="15">
      <c r="A703" s="3" t="s">
        <v>128</v>
      </c>
      <c r="B703" s="4" t="s">
        <v>269</v>
      </c>
      <c r="C703" s="4" t="s">
        <v>600</v>
      </c>
      <c r="D703" s="3" t="str">
        <f>HYPERLINK("http://www.monitor.co.ug/News/National/-/688334/1262666/-/bhgoq5z/-/index.html")</f>
        <v>http://www.monitor.co.ug/News/National/-/688334/1262666/-/bhgoq5z/-/index.html</v>
      </c>
    </row>
    <row r="704" spans="1:4" ht="15">
      <c r="A704" s="3" t="s">
        <v>128</v>
      </c>
      <c r="B704" s="4" t="s">
        <v>275</v>
      </c>
      <c r="C704" s="4" t="s">
        <v>128</v>
      </c>
      <c r="D704" s="3" t="str">
        <f>HYPERLINK("http://www.newvision.co.ug/news/45670-boy-dies-in-kampala-floods.html")</f>
        <v>http://www.newvision.co.ug/news/45670-boy-dies-in-kampala-floods.html</v>
      </c>
    </row>
    <row r="705" spans="1:4" ht="15">
      <c r="A705" s="3" t="s">
        <v>128</v>
      </c>
      <c r="B705" s="4" t="s">
        <v>279</v>
      </c>
      <c r="C705" s="4" t="s">
        <v>628</v>
      </c>
      <c r="D705" s="3" t="str">
        <f>HYPERLINK("http://www.monitor.co.ug/News/National/-/688334/1296410/-/bfjch1z/-/index.html")</f>
        <v>http://www.monitor.co.ug/News/National/-/688334/1296410/-/bfjch1z/-/index.html</v>
      </c>
    </row>
    <row r="706" spans="1:4" ht="15">
      <c r="A706" s="3" t="s">
        <v>128</v>
      </c>
      <c r="B706" s="4" t="s">
        <v>161</v>
      </c>
      <c r="C706" s="4" t="s">
        <v>580</v>
      </c>
      <c r="D706" s="3" t="str">
        <f>HYPERLINK("http://www.newvision.co.ug/news/523264-kampala-flooded-by-overnight-rains.html")</f>
        <v>http://www.newvision.co.ug/news/523264-kampala-flooded-by-overnight-rains.html</v>
      </c>
    </row>
    <row r="707" spans="1:4" ht="15">
      <c r="A707" s="3" t="s">
        <v>128</v>
      </c>
      <c r="B707" s="4" t="s">
        <v>198</v>
      </c>
      <c r="C707" s="4" t="s">
        <v>571</v>
      </c>
      <c r="D707" s="3" t="str">
        <f>HYPERLINK("http://www.newvision.co.ug/news/622463-pope-donates-sh62m-to-bududa.html")</f>
        <v>http://www.newvision.co.ug/news/622463-pope-donates-sh62m-to-bududa.html</v>
      </c>
    </row>
    <row r="708" spans="1:4" ht="15">
      <c r="A708" s="3" t="s">
        <v>128</v>
      </c>
      <c r="B708" s="4" t="s">
        <v>393</v>
      </c>
      <c r="C708" s="4" t="s">
        <v>128</v>
      </c>
      <c r="D708" s="3" t="str">
        <f>HYPERLINK("http://www.monitor.co.ug/artsculture/Entertainment/Kigozi-prays-for-rain-through-art/-/812796/2667598/-/rdt7xb/-/index.html")</f>
        <v>http://www.monitor.co.ug/artsculture/Entertainment/Kigozi-prays-for-rain-through-art/-/812796/2667598/-/rdt7xb/-/index.html</v>
      </c>
    </row>
    <row r="709" spans="1:4" ht="15">
      <c r="A709" s="3" t="s">
        <v>128</v>
      </c>
      <c r="B709" s="4" t="s">
        <v>206</v>
      </c>
      <c r="C709" s="4" t="s">
        <v>660</v>
      </c>
      <c r="D709" s="3" t="str">
        <f>HYPERLINK("http://www.monitor.co.ug/News/National/-/688334/908660/-/wy1j0d/-/index.html")</f>
        <v>http://www.monitor.co.ug/News/National/-/688334/908660/-/wy1j0d/-/index.html</v>
      </c>
    </row>
    <row r="710" spans="1:4" ht="15">
      <c r="A710" s="3" t="s">
        <v>128</v>
      </c>
      <c r="B710" s="4" t="s">
        <v>245</v>
      </c>
      <c r="C710" s="4" t="s">
        <v>128</v>
      </c>
      <c r="D710" s="3" t="str">
        <f>HYPERLINK("http://www.newvision.co.ug/news/323714-col-kizza-besigye-faces-sh50m-fine.html")</f>
        <v>http://www.newvision.co.ug/news/323714-col-kizza-besigye-faces-sh50m-fine.html</v>
      </c>
    </row>
    <row r="711" spans="1:4" ht="15">
      <c r="A711" s="3" t="s">
        <v>128</v>
      </c>
      <c r="B711" s="4" t="s">
        <v>401</v>
      </c>
      <c r="C711" s="4" t="s">
        <v>128</v>
      </c>
      <c r="D711" s="3" t="str">
        <f>HYPERLINK("http://www.monitor.co.ug/artsculture/Reviews/The-women-who-were-stripped--their-story/-/691232/2731544/-/15uypjb/-/index.html")</f>
        <v>http://www.monitor.co.ug/artsculture/Reviews/The-women-who-were-stripped--their-story/-/691232/2731544/-/15uypjb/-/index.html</v>
      </c>
    </row>
    <row r="712" spans="1:4" ht="15">
      <c r="A712" s="3" t="s">
        <v>128</v>
      </c>
      <c r="B712" s="4" t="s">
        <v>254</v>
      </c>
      <c r="C712" s="4" t="s">
        <v>128</v>
      </c>
      <c r="D712" s="3" t="str">
        <f>HYPERLINK("http://www.monitor.co.ug/Business/Prosper/-/688616/1189720/-/ampavt/-/index.html")</f>
        <v>http://www.monitor.co.ug/Business/Prosper/-/688616/1189720/-/ampavt/-/index.html</v>
      </c>
    </row>
    <row r="713" spans="1:4" ht="15">
      <c r="A713" s="3" t="s">
        <v>128</v>
      </c>
      <c r="B713" s="4" t="s">
        <v>254</v>
      </c>
      <c r="C713" s="4" t="s">
        <v>128</v>
      </c>
      <c r="D713" s="3" t="str">
        <f>HYPERLINK("http://www.monitor.co.ug/News/National/-/688334/1190812/-/byq5ywz/-/index.html")</f>
        <v>http://www.monitor.co.ug/News/National/-/688334/1190812/-/byq5ywz/-/index.html</v>
      </c>
    </row>
    <row r="714" spans="1:4" ht="15">
      <c r="A714" s="3" t="s">
        <v>128</v>
      </c>
      <c r="B714" s="4" t="s">
        <v>302</v>
      </c>
      <c r="C714" s="4" t="s">
        <v>603</v>
      </c>
      <c r="D714" s="3" t="str">
        <f>HYPERLINK("http://www.monitor.co.ug/OpEd/Letters/Establish-disaster-preparedness-commission-to-curb-loss-of-lives/-/806314/1437454/-/olipg0z/-/index.html")</f>
        <v>http://www.monitor.co.ug/OpEd/Letters/Establish-disaster-preparedness-commission-to-curb-loss-of-lives/-/806314/1437454/-/olipg0z/-/index.html</v>
      </c>
    </row>
    <row r="715" spans="1:4" ht="15">
      <c r="A715" s="3" t="s">
        <v>128</v>
      </c>
      <c r="B715" s="4" t="s">
        <v>403</v>
      </c>
      <c r="C715" s="4" t="s">
        <v>655</v>
      </c>
      <c r="D715" s="3" t="str">
        <f>HYPERLINK("http://www.monitor.co.ug/artsculture/Reviews/law-arrests-protests/-/691232/2811504/-/5mnme1z/-/index.html")</f>
        <v>http://www.monitor.co.ug/artsculture/Reviews/law-arrests-protests/-/691232/2811504/-/5mnme1z/-/index.html</v>
      </c>
    </row>
    <row r="716" spans="1:4" ht="15">
      <c r="A716" s="3" t="s">
        <v>128</v>
      </c>
      <c r="B716" s="4" t="s">
        <v>177</v>
      </c>
      <c r="C716" s="4" t="s">
        <v>128</v>
      </c>
      <c r="D716" s="3" t="str">
        <f>HYPERLINK("http://www.monitor.co.ug/OpEd/Commentary/-/689364/716886/-/b5d6juz/-/index.html")</f>
        <v>http://www.monitor.co.ug/OpEd/Commentary/-/689364/716886/-/b5d6juz/-/index.html</v>
      </c>
    </row>
    <row r="717" spans="1:4" ht="15">
      <c r="A717" s="3" t="s">
        <v>128</v>
      </c>
      <c r="B717" s="4" t="s">
        <v>260</v>
      </c>
      <c r="C717" s="4" t="s">
        <v>128</v>
      </c>
      <c r="D717" s="3" t="str">
        <f>HYPERLINK("http://www.monitor.co.ug/OpEd/Letters/-/806314/1226114/-/10sdi4x/-/index.html")</f>
        <v>http://www.monitor.co.ug/OpEd/Letters/-/806314/1226114/-/10sdi4x/-/index.html</v>
      </c>
    </row>
    <row r="718" spans="1:4" ht="15">
      <c r="A718" s="3" t="s">
        <v>128</v>
      </c>
      <c r="B718" s="4" t="s">
        <v>32</v>
      </c>
      <c r="C718" s="4" t="s">
        <v>128</v>
      </c>
      <c r="D718" s="3" t="str">
        <f>HYPERLINK("http://www.monitor.co.ug/News/Education/-/688336/788910/-/10i5rwe/-/index.html")</f>
        <v>http://www.monitor.co.ug/News/Education/-/688336/788910/-/10i5rwe/-/index.html</v>
      </c>
    </row>
    <row r="719" spans="1:4" ht="15">
      <c r="A719" s="3" t="s">
        <v>128</v>
      </c>
      <c r="B719" s="4" t="s">
        <v>32</v>
      </c>
      <c r="C719" s="4" t="s">
        <v>562</v>
      </c>
      <c r="D719" s="3" t="str">
        <f>HYPERLINK("http://www.monitor.co.ug/News/Education/-/688336/788556/-/10i5ova/-/index.html")</f>
        <v>http://www.monitor.co.ug/News/Education/-/688336/788556/-/10i5ova/-/index.html</v>
      </c>
    </row>
    <row r="720" spans="1:4" ht="15">
      <c r="A720" s="3" t="s">
        <v>128</v>
      </c>
      <c r="B720" s="4" t="s">
        <v>32</v>
      </c>
      <c r="C720" s="4" t="s">
        <v>563</v>
      </c>
      <c r="D720" s="3" t="str">
        <f>HYPERLINK("http://www.monitor.co.ug/News/Education/-/688336/788646/-/10i5pmu/-/index.html")</f>
        <v>http://www.monitor.co.ug/News/Education/-/688336/788646/-/10i5pmu/-/index.html</v>
      </c>
    </row>
    <row r="721" spans="1:4" ht="15">
      <c r="A721" s="3" t="s">
        <v>128</v>
      </c>
      <c r="B721" s="4" t="s">
        <v>13</v>
      </c>
      <c r="C721" s="4" t="s">
        <v>128</v>
      </c>
      <c r="D721" s="3" t="str">
        <f>HYPERLINK("http://www.monitor.co.ug/News/National/KCCA-starts-eviction-of-Centenary-Park-tenants/-/688334/1519566/-/uq28apz/-/index.html")</f>
        <v>http://www.monitor.co.ug/News/National/KCCA-starts-eviction-of-Centenary-Park-tenants/-/688334/1519566/-/uq28apz/-/index.html</v>
      </c>
    </row>
    <row r="722" spans="1:4" ht="15">
      <c r="A722" s="3" t="s">
        <v>128</v>
      </c>
      <c r="B722" s="4" t="s">
        <v>384</v>
      </c>
      <c r="C722" s="4" t="s">
        <v>656</v>
      </c>
      <c r="D722" s="3" t="str">
        <f>HYPERLINK("http://www.monitor.co.ug/artsculture/Reviews/One-swamp-s-destruction--a-future-generation-s-problem/-/691232/2502598/-/ggsn68/-/index.html")</f>
        <v>http://www.monitor.co.ug/artsculture/Reviews/One-swamp-s-destruction--a-future-generation-s-problem/-/691232/2502598/-/ggsn68/-/index.html</v>
      </c>
    </row>
    <row r="723" spans="1:4" ht="15">
      <c r="A723" s="3" t="s">
        <v>128</v>
      </c>
      <c r="B723" s="4" t="s">
        <v>356</v>
      </c>
      <c r="C723" s="4" t="s">
        <v>128</v>
      </c>
      <c r="D723" s="3" t="str">
        <f>HYPERLINK("http://www.monitor.co.ug/SpecialReports/-/688342/2092194/-/yi2kr9z/-/index.html")</f>
        <v>http://www.monitor.co.ug/SpecialReports/-/688342/2092194/-/yi2kr9z/-/index.html</v>
      </c>
    </row>
    <row r="724" spans="1:4" ht="15">
      <c r="A724" s="3" t="s">
        <v>128</v>
      </c>
      <c r="B724" s="4" t="s">
        <v>118</v>
      </c>
      <c r="C724" s="4" t="s">
        <v>128</v>
      </c>
      <c r="D724" s="3" t="str">
        <f>HYPERLINK("http://www.monitor.co.ug/News/National/Katosi-scam--Police-hunt-culprits-abroad/-/688334/2538122/-/icuxdf/-/index.html")</f>
        <v>http://www.monitor.co.ug/News/National/Katosi-scam--Police-hunt-culprits-abroad/-/688334/2538122/-/icuxdf/-/index.html</v>
      </c>
    </row>
    <row r="725" spans="1:4" ht="15">
      <c r="A725" s="3" t="s">
        <v>128</v>
      </c>
      <c r="B725" s="4" t="s">
        <v>100</v>
      </c>
      <c r="C725" s="4" t="s">
        <v>128</v>
      </c>
      <c r="D725" s="3" t="str">
        <f>HYPERLINK("http://www.monitor.co.ug/OpEd/OpEdColumnists/CharlesOnyangoObbo/-/878504/1080060/-/gowkot/-/index.html")</f>
        <v>http://www.monitor.co.ug/OpEd/OpEdColumnists/CharlesOnyangoObbo/-/878504/1080060/-/gowkot/-/index.html</v>
      </c>
    </row>
    <row r="726" spans="1:4" ht="15">
      <c r="A726" s="3" t="s">
        <v>128</v>
      </c>
      <c r="B726" s="4" t="s">
        <v>324</v>
      </c>
      <c r="C726" s="4" t="s">
        <v>128</v>
      </c>
      <c r="D726" s="3" t="str">
        <f>HYPERLINK("http://www.monitor.co.ug/Magazines/Full-Woman/Women-in-2012--The-good--bad-and-the-unbelievable/-/689842/1653418/-/o91lsg/-/index.html")</f>
        <v>http://www.monitor.co.ug/Magazines/Full-Woman/Women-in-2012--The-good--bad-and-the-unbelievable/-/689842/1653418/-/o91lsg/-/index.html</v>
      </c>
    </row>
    <row r="727" spans="1:4" ht="15">
      <c r="A727" s="3" t="s">
        <v>128</v>
      </c>
      <c r="B727" s="4" t="s">
        <v>324</v>
      </c>
      <c r="C727" s="4" t="s">
        <v>577</v>
      </c>
      <c r="D727" s="3" t="str">
        <f>HYPERLINK("http://www.monitor.co.ug/News/National/Red-Cross-registers-66-injury-cases/-/688334/1653290/-/epkxafz/-/index.html")</f>
        <v>http://www.monitor.co.ug/News/National/Red-Cross-registers-66-injury-cases/-/688334/1653290/-/epkxafz/-/index.html</v>
      </c>
    </row>
    <row r="728" spans="1:4" ht="15">
      <c r="A728" s="3" t="s">
        <v>128</v>
      </c>
      <c r="B728" s="4" t="s">
        <v>199</v>
      </c>
      <c r="C728" s="4" t="s">
        <v>573</v>
      </c>
      <c r="D728" s="3" t="str">
        <f>HYPERLINK("http://www.monitor.co.ug/News/National/-/688334/888614/-/wjv4at/-/index.html")</f>
        <v>http://www.monitor.co.ug/News/National/-/688334/888614/-/wjv4at/-/index.html</v>
      </c>
    </row>
    <row r="729" spans="1:4" ht="15">
      <c r="A729" s="3" t="s">
        <v>128</v>
      </c>
      <c r="B729" s="4" t="s">
        <v>207</v>
      </c>
      <c r="C729" s="4" t="s">
        <v>630</v>
      </c>
      <c r="D729" s="3" t="str">
        <f>HYPERLINK("http://www.monitor.co.ug/OpEd/Letters/-/806314/908548/-/2f17avz/-/index.html")</f>
        <v>http://www.monitor.co.ug/OpEd/Letters/-/806314/908548/-/2f17avz/-/index.html</v>
      </c>
    </row>
    <row r="730" spans="1:4" ht="15">
      <c r="A730" s="3" t="s">
        <v>128</v>
      </c>
      <c r="B730" s="4" t="s">
        <v>292</v>
      </c>
      <c r="C730" s="4" t="s">
        <v>128</v>
      </c>
      <c r="D730" s="3" t="str">
        <f>HYPERLINK("http://www.monitor.co.ug/Magazines/Life/-/689856/1395170/-/cbw3gi/-/index.html")</f>
        <v>http://www.monitor.co.ug/Magazines/Life/-/689856/1395170/-/cbw3gi/-/index.html</v>
      </c>
    </row>
    <row r="731" spans="1:4" ht="15">
      <c r="A731" s="3" t="s">
        <v>128</v>
      </c>
      <c r="B731" s="4" t="s">
        <v>292</v>
      </c>
      <c r="C731" s="4" t="s">
        <v>128</v>
      </c>
      <c r="D731" s="3" t="str">
        <f>HYPERLINK("http://www.monitor.co.ug/News/National/-/688334/1395714/-/avh8oyz/-/index.html")</f>
        <v>http://www.monitor.co.ug/News/National/-/688334/1395714/-/avh8oyz/-/index.html</v>
      </c>
    </row>
    <row r="732" spans="1:4" ht="15">
      <c r="A732" s="3" t="s">
        <v>128</v>
      </c>
      <c r="B732" s="4" t="s">
        <v>139</v>
      </c>
      <c r="C732" s="4" t="s">
        <v>623</v>
      </c>
      <c r="D732" s="3" t="str">
        <f>HYPERLINK("http://www.newvision.co.ug/news/442730-in-brief.html")</f>
        <v>http://www.newvision.co.ug/news/442730-in-brief.html</v>
      </c>
    </row>
    <row r="733" spans="1:4" ht="15">
      <c r="A733" s="3" t="s">
        <v>128</v>
      </c>
      <c r="B733" s="4" t="s">
        <v>212</v>
      </c>
      <c r="C733" s="4" t="s">
        <v>128</v>
      </c>
      <c r="D733" s="3" t="str">
        <f>HYPERLINK("http://www.monitor.co.ug/News/National/-/688334/927584/-/x08vq9/-/index.html")</f>
        <v>http://www.monitor.co.ug/News/National/-/688334/927584/-/x08vq9/-/index.html</v>
      </c>
    </row>
    <row r="734" spans="1:4" ht="15">
      <c r="A734" s="3" t="s">
        <v>128</v>
      </c>
      <c r="B734" s="4" t="s">
        <v>216</v>
      </c>
      <c r="C734" s="4" t="s">
        <v>603</v>
      </c>
      <c r="D734" s="3" t="str">
        <f>HYPERLINK("http://www.monitor.co.ug/SpecialReports/Elections/-/859108/948400/-/aqndpaz/-/index.html")</f>
        <v>http://www.monitor.co.ug/SpecialReports/Elections/-/859108/948400/-/aqndpaz/-/index.html</v>
      </c>
    </row>
    <row r="735" spans="1:4" ht="15">
      <c r="A735" s="3" t="s">
        <v>128</v>
      </c>
      <c r="B735" s="4" t="s">
        <v>303</v>
      </c>
      <c r="C735" s="4" t="s">
        <v>603</v>
      </c>
      <c r="D735" s="3" t="str">
        <f>HYPERLINK("http://www.monitor.co.ug/News/National/Mafabi-raps-govt-on-Bududa/-/688334/1438976/-/7eqmhh/-/index.html")</f>
        <v>http://www.monitor.co.ug/News/National/Mafabi-raps-govt-on-Bududa/-/688334/1438976/-/7eqmhh/-/index.html</v>
      </c>
    </row>
    <row r="736" spans="1:4" ht="15">
      <c r="A736" s="3" t="s">
        <v>128</v>
      </c>
      <c r="B736" s="4" t="s">
        <v>146</v>
      </c>
      <c r="C736" s="4" t="s">
        <v>128</v>
      </c>
      <c r="D736" s="3" t="str">
        <f>HYPERLINK("http://www.newvision.co.ug/news/488427-july-unusually-cold-wet-experts.html")</f>
        <v>http://www.newvision.co.ug/news/488427-july-unusually-cold-wet-experts.html</v>
      </c>
    </row>
    <row r="737" spans="1:4" ht="15">
      <c r="A737" s="3" t="s">
        <v>128</v>
      </c>
      <c r="B737" s="4" t="s">
        <v>166</v>
      </c>
      <c r="C737" s="4" t="s">
        <v>564</v>
      </c>
      <c r="D737" s="3" t="str">
        <f>HYPERLINK("http://www.newvision.co.ug/news/513930-fake-solar-panels-flood-market.html")</f>
        <v>http://www.newvision.co.ug/news/513930-fake-solar-panels-flood-market.html</v>
      </c>
    </row>
    <row r="738" spans="1:4" ht="15">
      <c r="A738" s="3" t="s">
        <v>128</v>
      </c>
      <c r="B738" s="4" t="s">
        <v>62</v>
      </c>
      <c r="C738" s="4" t="s">
        <v>571</v>
      </c>
      <c r="D738" s="3" t="str">
        <f>HYPERLINK("http://www.monitor.co.ug/News/National/Firm-sues-district-boss-over-wetland/-/688334/1929692/-/103kckw/-/index.html")</f>
        <v>http://www.monitor.co.ug/News/National/Firm-sues-district-boss-over-wetland/-/688334/1929692/-/103kckw/-/index.html</v>
      </c>
    </row>
    <row r="739" spans="1:4" ht="15">
      <c r="A739" s="3" t="s">
        <v>128</v>
      </c>
      <c r="B739" s="4" t="s">
        <v>314</v>
      </c>
      <c r="C739" s="4" t="s">
        <v>128</v>
      </c>
      <c r="D739" s="3" t="str">
        <f>HYPERLINK("http://www.monitor.co.ug/OpEd/Letters/Musisi-would-concentrate-on-tarmacking-all-city-roads-first/-/806314/1520018/-/oyhxbrz/-/index.html")</f>
        <v>http://www.monitor.co.ug/OpEd/Letters/Musisi-would-concentrate-on-tarmacking-all-city-roads-first/-/806314/1520018/-/oyhxbrz/-/index.html</v>
      </c>
    </row>
    <row r="740" spans="1:4" ht="15">
      <c r="A740" s="3" t="s">
        <v>128</v>
      </c>
      <c r="B740" s="4" t="s">
        <v>169</v>
      </c>
      <c r="C740" s="4" t="s">
        <v>128</v>
      </c>
      <c r="D740" s="3" t="str">
        <f>HYPERLINK("http://www.monitor.co.ug/News/Education/-/688336/695462/-/yymebn/-/index.html")</f>
        <v>http://www.monitor.co.ug/News/Education/-/688336/695462/-/yymebn/-/index.html</v>
      </c>
    </row>
    <row r="741" spans="1:4" ht="15">
      <c r="A741" s="3" t="s">
        <v>128</v>
      </c>
      <c r="B741" s="4" t="s">
        <v>327</v>
      </c>
      <c r="C741" s="4" t="s">
        <v>705</v>
      </c>
      <c r="D741" s="3" t="str">
        <f>HYPERLINK("http://www.newvision.co.ug/news/639374-how-to-protect-your-house-from-floods.html")</f>
        <v>http://www.newvision.co.ug/news/639374-how-to-protect-your-house-from-floods.html</v>
      </c>
    </row>
    <row r="742" spans="1:4" ht="15">
      <c r="A742" s="3" t="s">
        <v>128</v>
      </c>
      <c r="B742" s="4" t="s">
        <v>149</v>
      </c>
      <c r="C742" s="4" t="s">
        <v>128</v>
      </c>
      <c r="D742" s="3" t="str">
        <f>HYPERLINK("http://www.newvision.co.ug/news/481654-unbs-gets-tough-on-fake-imports.html")</f>
        <v>http://www.newvision.co.ug/news/481654-unbs-gets-tough-on-fake-imports.html</v>
      </c>
    </row>
    <row r="743" spans="1:4" ht="15">
      <c r="A743" s="3" t="s">
        <v>128</v>
      </c>
      <c r="B743" s="4" t="s">
        <v>228</v>
      </c>
      <c r="C743" s="4" t="s">
        <v>128</v>
      </c>
      <c r="D743" s="3" t="str">
        <f>HYPERLINK("http://www.monitor.co.ug/OpEd/Letters/-/806314/1042994/-/yqdin5/-/index.html")</f>
        <v>http://www.monitor.co.ug/OpEd/Letters/-/806314/1042994/-/yqdin5/-/index.html</v>
      </c>
    </row>
    <row r="744" spans="1:4" ht="15">
      <c r="A744" s="3" t="s">
        <v>128</v>
      </c>
      <c r="B744" s="4" t="s">
        <v>270</v>
      </c>
      <c r="C744" s="4" t="s">
        <v>128</v>
      </c>
      <c r="D744" s="3" t="str">
        <f>HYPERLINK("http://www.monitor.co.ug/News/National/-/688334/1263996/-/bhfwyxz/-/index.html")</f>
        <v>http://www.monitor.co.ug/News/National/-/688334/1263996/-/bhfwyxz/-/index.html</v>
      </c>
    </row>
    <row r="745" spans="1:4" ht="15">
      <c r="A745" s="3" t="s">
        <v>128</v>
      </c>
      <c r="B745" s="4" t="s">
        <v>270</v>
      </c>
      <c r="C745" s="4" t="s">
        <v>128</v>
      </c>
      <c r="D745" s="3" t="str">
        <f>HYPERLINK("http://www.monitor.co.ug/OpEd/OpEdColumnists/BernardTabaire/-/878688/1263934/-/ndtsr8/-/index.html")</f>
        <v>http://www.monitor.co.ug/OpEd/OpEdColumnists/BernardTabaire/-/878688/1263934/-/ndtsr8/-/index.html</v>
      </c>
    </row>
    <row r="746" spans="1:4" ht="15">
      <c r="A746" s="3" t="s">
        <v>128</v>
      </c>
      <c r="B746" s="4" t="s">
        <v>319</v>
      </c>
      <c r="C746" s="4" t="s">
        <v>701</v>
      </c>
      <c r="D746" s="3" t="str">
        <f>HYPERLINK("http://www.monitor.co.ug/OpEd/OpEdColumnists/NicholasSengooba/KCCA--when-one-opts-for-a-nice-hairdo-but-wears-dirty-underwear/-/1293432/1606224/-/naty1v/-/index.html")</f>
        <v>http://www.monitor.co.ug/OpEd/OpEdColumnists/NicholasSengooba/KCCA--when-one-opts-for-a-nice-hairdo-but-wears-dirty-underwear/-/1293432/1606224/-/naty1v/-/index.html</v>
      </c>
    </row>
    <row r="747" spans="1:4" ht="15">
      <c r="A747" s="3" t="s">
        <v>128</v>
      </c>
      <c r="B747" s="4" t="s">
        <v>354</v>
      </c>
      <c r="C747" s="4" t="s">
        <v>128</v>
      </c>
      <c r="D747" s="3" t="str">
        <f>HYPERLINK("http://www.monitor.co.ug/Magazines/Farming/When-good-intentions-put-farmers-in-a-dilemma/-/689860/2052422/-/ktsxcoz/-/index.html")</f>
        <v>http://www.monitor.co.ug/Magazines/Farming/When-good-intentions-put-farmers-in-a-dilemma/-/689860/2052422/-/ktsxcoz/-/index.html</v>
      </c>
    </row>
    <row r="748" spans="1:4" ht="15">
      <c r="A748" s="3" t="s">
        <v>128</v>
      </c>
      <c r="B748" s="4" t="s">
        <v>354</v>
      </c>
      <c r="C748" s="4" t="s">
        <v>128</v>
      </c>
      <c r="D748" s="3" t="str">
        <f>HYPERLINK("http://www.monitor.co.ug/News/National/KCCA-to-re-introduce-containers-to-stop-waste-/-/688334/2052714/-/f1iv38/-/index.html")</f>
        <v>http://www.monitor.co.ug/News/National/KCCA-to-re-introduce-containers-to-stop-waste-/-/688334/2052714/-/f1iv38/-/index.html</v>
      </c>
    </row>
    <row r="749" spans="1:4" ht="15">
      <c r="A749" s="3" t="s">
        <v>128</v>
      </c>
      <c r="B749" s="4" t="s">
        <v>387</v>
      </c>
      <c r="C749" s="4" t="s">
        <v>563</v>
      </c>
      <c r="D749" s="3" t="str">
        <f>HYPERLINK("http://www.monitor.co.ug/News/National/5-000-stranded-as-floods-cut-off-border/-/688334/2539554/-/xpmrtn/-/index.html")</f>
        <v>http://www.monitor.co.ug/News/National/5-000-stranded-as-floods-cut-off-border/-/688334/2539554/-/xpmrtn/-/index.html</v>
      </c>
    </row>
    <row r="750" spans="1:4" ht="15">
      <c r="A750" s="3" t="s">
        <v>128</v>
      </c>
      <c r="B750" s="4" t="s">
        <v>325</v>
      </c>
      <c r="C750" s="4" t="s">
        <v>505</v>
      </c>
      <c r="D750" s="3" t="str">
        <f>HYPERLINK("http://www.monitor.co.ug/News/National/Landslides-block-Ntungamo-travellers-for-over-10-hours/-/688334/1653818/-/13manedz/-/index.html")</f>
        <v>http://www.monitor.co.ug/News/National/Landslides-block-Ntungamo-travellers-for-over-10-hours/-/688334/1653818/-/13manedz/-/index.html</v>
      </c>
    </row>
    <row r="751" spans="1:4" ht="15">
      <c r="A751" s="3" t="s">
        <v>128</v>
      </c>
      <c r="B751" s="4" t="s">
        <v>162</v>
      </c>
      <c r="C751" s="4" t="s">
        <v>639</v>
      </c>
      <c r="D751" s="3" t="str">
        <f>HYPERLINK("http://www.newvision.co.ug/news/523194-200-houses-built-in-kinawataka-swamp.html")</f>
        <v>http://www.newvision.co.ug/news/523194-200-houses-built-in-kinawataka-swamp.html</v>
      </c>
    </row>
    <row r="752" spans="1:4" ht="15">
      <c r="A752" s="3" t="s">
        <v>128</v>
      </c>
      <c r="B752" s="4" t="s">
        <v>200</v>
      </c>
      <c r="C752" s="4" t="s">
        <v>581</v>
      </c>
      <c r="D752" s="3" t="str">
        <f>HYPERLINK("http://www.monitor.co.ug/Business/Prosper/-/688616/889018/-/jg1kncz/-/index.html")</f>
        <v>http://www.monitor.co.ug/Business/Prosper/-/688616/889018/-/jg1kncz/-/index.html</v>
      </c>
    </row>
    <row r="753" spans="1:4" ht="15">
      <c r="A753" s="3" t="s">
        <v>128</v>
      </c>
      <c r="B753" s="4" t="s">
        <v>337</v>
      </c>
      <c r="C753" s="4" t="s">
        <v>128</v>
      </c>
      <c r="D753" s="3" t="str">
        <f>HYPERLINK("http://www.monitor.co.ug/News/National/NMS-ordered-to-recover-Shs45b-lost-to-drug-firm/-/688334/1762134/-/uw410g/-/index.html")</f>
        <v>http://www.monitor.co.ug/News/National/NMS-ordered-to-recover-Shs45b-lost-to-drug-firm/-/688334/1762134/-/uw410g/-/index.html</v>
      </c>
    </row>
    <row r="754" spans="1:4" ht="15">
      <c r="A754" s="3" t="s">
        <v>128</v>
      </c>
      <c r="B754" s="4" t="s">
        <v>398</v>
      </c>
      <c r="C754" s="4" t="s">
        <v>128</v>
      </c>
      <c r="D754" s="3" t="str">
        <f>HYPERLINK("http://www.monitor.co.ug/News/National/NRM-buys-posh-cars-for-top-officials/-/688334/2701532/-/6nhkez/-/index.html")</f>
        <v>http://www.monitor.co.ug/News/National/NRM-buys-posh-cars-for-top-officials/-/688334/2701532/-/6nhkez/-/index.html</v>
      </c>
    </row>
    <row r="755" spans="1:4" ht="15">
      <c r="A755" s="3" t="s">
        <v>128</v>
      </c>
      <c r="B755" s="4" t="s">
        <v>251</v>
      </c>
      <c r="C755" s="4" t="s">
        <v>128</v>
      </c>
      <c r="D755" s="3" t="str">
        <f>HYPERLINK("http://www.monitor.co.ug/artsculture/Reviews/-/691232/1171480/-/pd0poz/-/index.html")</f>
        <v>http://www.monitor.co.ug/artsculture/Reviews/-/691232/1171480/-/pd0poz/-/index.html</v>
      </c>
    </row>
    <row r="756" spans="1:4" ht="15">
      <c r="A756" s="3" t="s">
        <v>128</v>
      </c>
      <c r="B756" s="4" t="s">
        <v>174</v>
      </c>
      <c r="C756" s="4" t="s">
        <v>645</v>
      </c>
      <c r="D756" s="3" t="str">
        <f>HYPERLINK("http://www.monitor.co.ug/OpEd/Commentary/-/689364/711388/-/b5gr2xz/-/index.html")</f>
        <v>http://www.monitor.co.ug/OpEd/Commentary/-/689364/711388/-/b5gr2xz/-/index.html</v>
      </c>
    </row>
    <row r="757" spans="1:4" ht="15">
      <c r="A757" s="3" t="s">
        <v>128</v>
      </c>
      <c r="B757" s="4" t="s">
        <v>130</v>
      </c>
      <c r="C757" s="4" t="s">
        <v>128</v>
      </c>
      <c r="D757" s="3" t="str">
        <f>HYPERLINK("http://www.newvision.co.ug/news/339475-wakiso-to-clear-lubigi-channel.html")</f>
        <v>http://www.newvision.co.ug/news/339475-wakiso-to-clear-lubigi-channel.html</v>
      </c>
    </row>
    <row r="758" spans="1:4" ht="15">
      <c r="A758" s="3" t="s">
        <v>128</v>
      </c>
      <c r="B758" s="4" t="s">
        <v>315</v>
      </c>
      <c r="C758" s="4" t="s">
        <v>562</v>
      </c>
      <c r="D758" s="3" t="str">
        <f>HYPERLINK("http://www.monitor.co.ug/Magazines/PeoplePower/Why-the-Centenary-Park-wrangle-nails-Urban-Planners-on-the-cross/-/689844/1520894/-/ntmxi0z/-/index.html")</f>
        <v>http://www.monitor.co.ug/Magazines/PeoplePower/Why-the-Centenary-Park-wrangle-nails-Urban-Planners-on-the-cross/-/689844/1520894/-/ntmxi0z/-/index.html</v>
      </c>
    </row>
    <row r="759" spans="1:4" ht="15">
      <c r="A759" s="3" t="s">
        <v>128</v>
      </c>
      <c r="B759" s="4" t="s">
        <v>187</v>
      </c>
      <c r="C759" s="4" t="s">
        <v>647</v>
      </c>
      <c r="D759" s="3" t="str">
        <f>HYPERLINK("http://www.monitor.co.ug/News/Insight/-/688338/852468/-/7dx2g2/-/index.html")</f>
        <v>http://www.monitor.co.ug/News/Insight/-/688338/852468/-/7dx2g2/-/index.html</v>
      </c>
    </row>
    <row r="760" spans="1:4" ht="15">
      <c r="A760" s="3" t="s">
        <v>128</v>
      </c>
      <c r="B760" s="4" t="s">
        <v>229</v>
      </c>
      <c r="C760" s="4" t="s">
        <v>128</v>
      </c>
      <c r="D760" s="3" t="str">
        <f>HYPERLINK("http://www.monitor.co.ug/News/National/-/688334/1043428/-/cltlchz/-/index.html")</f>
        <v>http://www.monitor.co.ug/News/National/-/688334/1043428/-/cltlchz/-/index.html</v>
      </c>
    </row>
    <row r="761" spans="1:4" ht="15">
      <c r="A761" s="3" t="s">
        <v>128</v>
      </c>
      <c r="B761" s="4" t="s">
        <v>229</v>
      </c>
      <c r="C761" s="4" t="s">
        <v>630</v>
      </c>
      <c r="D761" s="3" t="str">
        <f>HYPERLINK("http://www.monitor.co.ug/News/Insight/-/688338/1043414/-/ql13xd/-/index.html")</f>
        <v>http://www.monitor.co.ug/News/Insight/-/688338/1043414/-/ql13xd/-/index.html</v>
      </c>
    </row>
    <row r="762" spans="1:4" ht="15">
      <c r="A762" s="3" t="s">
        <v>128</v>
      </c>
      <c r="B762" s="4" t="s">
        <v>230</v>
      </c>
      <c r="C762" s="4" t="s">
        <v>603</v>
      </c>
      <c r="D762" s="3" t="str">
        <f>HYPERLINK("http://www.monitor.co.ug/SpecialReports/-/688342/1081308/-/ubykal/-/index.html")</f>
        <v>http://www.monitor.co.ug/SpecialReports/-/688342/1081308/-/ubykal/-/index.html</v>
      </c>
    </row>
    <row r="763" spans="1:4" ht="15">
      <c r="A763" s="3" t="s">
        <v>128</v>
      </c>
      <c r="B763" s="4" t="s">
        <v>116</v>
      </c>
      <c r="C763" s="4" t="s">
        <v>128</v>
      </c>
      <c r="D763" s="3" t="str">
        <f>HYPERLINK("http://www.monitor.co.ug/OpEd/Editorial/-/689360/1297490/-/a4tu6j/-/index.html")</f>
        <v>http://www.monitor.co.ug/OpEd/Editorial/-/689360/1297490/-/a4tu6j/-/index.html</v>
      </c>
    </row>
    <row r="764" spans="1:4" ht="15">
      <c r="A764" s="3" t="s">
        <v>128</v>
      </c>
      <c r="B764" s="4" t="s">
        <v>201</v>
      </c>
      <c r="C764" s="4" t="s">
        <v>603</v>
      </c>
      <c r="D764" s="3" t="str">
        <f>HYPERLINK("http://www.monitor.co.ug/Sports/OtherSport/-/690284/889792/-/i800tbz/-/index.html")</f>
        <v>http://www.monitor.co.ug/Sports/OtherSport/-/690284/889792/-/i800tbz/-/index.html</v>
      </c>
    </row>
    <row r="765" spans="1:4" ht="15">
      <c r="A765" s="3" t="s">
        <v>128</v>
      </c>
      <c r="B765" s="4" t="s">
        <v>394</v>
      </c>
      <c r="C765" s="4" t="s">
        <v>724</v>
      </c>
      <c r="D765" s="3" t="str">
        <f>HYPERLINK("http://www.monitor.co.ug/News/National/Prosecutor-Joan-Kagezi-murder-DPP/-/688334/2671424/-/1397rh5z/-/index.html")</f>
        <v>http://www.monitor.co.ug/News/National/Prosecutor-Joan-Kagezi-murder-DPP/-/688334/2671424/-/1397rh5z/-/index.html</v>
      </c>
    </row>
    <row r="766" spans="1:4" ht="15">
      <c r="A766" s="3" t="s">
        <v>128</v>
      </c>
      <c r="B766" s="4" t="s">
        <v>164</v>
      </c>
      <c r="C766" s="4" t="s">
        <v>128</v>
      </c>
      <c r="D766" s="3" t="str">
        <f>HYPERLINK("http://www.newvision.co.ug/news/518495-works-probe-flooding.html")</f>
        <v>http://www.newvision.co.ug/news/518495-works-probe-flooding.html</v>
      </c>
    </row>
    <row r="767" spans="1:4" ht="15">
      <c r="A767" s="3" t="s">
        <v>128</v>
      </c>
      <c r="B767" s="4" t="s">
        <v>252</v>
      </c>
      <c r="C767" s="4" t="s">
        <v>681</v>
      </c>
      <c r="D767" s="3" t="str">
        <f>HYPERLINK("http://www.monitor.co.ug/News/National/-/688334/1172224/-/c0wyt0z/-/index.html")</f>
        <v>http://www.monitor.co.ug/News/National/-/688334/1172224/-/c0wyt0z/-/index.html</v>
      </c>
    </row>
    <row r="768" spans="1:4" ht="15">
      <c r="A768" s="3" t="s">
        <v>128</v>
      </c>
      <c r="B768" s="4" t="s">
        <v>296</v>
      </c>
      <c r="C768" s="4" t="s">
        <v>128</v>
      </c>
      <c r="D768" s="3" t="str">
        <f>HYPERLINK("http://www.newvision.co.ug/news/631565-sewage-burst-floods-kampala-road.html")</f>
        <v>http://www.newvision.co.ug/news/631565-sewage-burst-floods-kampala-road.html</v>
      </c>
    </row>
    <row r="769" spans="1:4" ht="15">
      <c r="A769" s="3" t="s">
        <v>404</v>
      </c>
      <c r="B769" s="5">
        <v>41491</v>
      </c>
      <c r="C769" s="4" t="s">
        <v>128</v>
      </c>
      <c r="D769" s="3" t="str">
        <f>HYPERLINK("http://www.monitor.co.ug/News/National/Rains-to-pound-until-June--experts-warn/-/688334/1845454/-/x2erqsz/-/index.html")</f>
        <v>http://www.monitor.co.ug/News/National/Rains-to-pound-until-June--experts-warn/-/688334/1845454/-/x2erqsz/-/index.html</v>
      </c>
    </row>
    <row r="770" spans="1:4" ht="15">
      <c r="A770" s="3" t="s">
        <v>405</v>
      </c>
      <c r="B770" s="5">
        <v>40852</v>
      </c>
      <c r="C770" s="4" t="s">
        <v>726</v>
      </c>
      <c r="D770" s="3" t="str">
        <f>HYPERLINK("http://www.monitor.co.ug/News/National/-/688334/1160034/-/c1kxvoz/-/index.html")</f>
        <v>http://www.monitor.co.ug/News/National/-/688334/1160034/-/c1kxvoz/-/index.html</v>
      </c>
    </row>
    <row r="771" spans="1:4" ht="15">
      <c r="A771" s="3" t="s">
        <v>407</v>
      </c>
      <c r="B771" s="5">
        <v>39448</v>
      </c>
      <c r="C771" s="4" t="s">
        <v>408</v>
      </c>
      <c r="D771" s="3" t="str">
        <f>HYPERLINK("http://www.monitor.co.ug/News/Education/-/688336/724276/-/10edlx4/-/index.html")</f>
        <v>http://www.monitor.co.ug/News/Education/-/688336/724276/-/10edlx4/-/index.html</v>
      </c>
    </row>
    <row r="772" spans="1:4" ht="15">
      <c r="A772" s="3" t="s">
        <v>407</v>
      </c>
      <c r="B772" s="4" t="s">
        <v>96</v>
      </c>
      <c r="C772" s="4" t="s">
        <v>408</v>
      </c>
      <c r="D772" s="3" t="str">
        <f>HYPERLINK("http://www.monitor.co.ug/News/National/-/688334/919926/-/wyntgu/-/index.html")</f>
        <v>http://www.monitor.co.ug/News/National/-/688334/919926/-/wyntgu/-/index.html</v>
      </c>
    </row>
    <row r="773" spans="1:4" ht="15">
      <c r="A773" s="3" t="s">
        <v>409</v>
      </c>
      <c r="B773" s="5">
        <v>41096</v>
      </c>
      <c r="C773" s="4" t="s">
        <v>128</v>
      </c>
      <c r="D773" s="3" t="str">
        <f>HYPERLINK("http://www.monitor.co.ug/News/National/Museveni-orders-arrest-of-engineers/-/688334/1422224/-/eq86yb/-/index.html")</f>
        <v>http://www.monitor.co.ug/News/National/Museveni-orders-arrest-of-engineers/-/688334/1422224/-/eq86yb/-/index.html</v>
      </c>
    </row>
    <row r="774" spans="1:4" ht="15">
      <c r="A774" s="3" t="s">
        <v>409</v>
      </c>
      <c r="B774" s="5">
        <v>42219</v>
      </c>
      <c r="C774" s="4" t="s">
        <v>784</v>
      </c>
      <c r="D774" s="3" t="str">
        <f>HYPERLINK("http://www.monitor.co.ug/Magazines/PeoplePower/Mateke--Museveni-s-Mr-Fix-in-Kisoro-rewarded-/-/689844/2645478/-/jtn44s/-/index.html")</f>
        <v>http://www.monitor.co.ug/Magazines/PeoplePower/Mateke--Museveni-s-Mr-Fix-in-Kisoro-rewarded-/-/689844/2645478/-/jtn44s/-/index.html</v>
      </c>
    </row>
    <row r="775" spans="1:4" ht="15">
      <c r="A775" s="3" t="s">
        <v>410</v>
      </c>
      <c r="B775" s="4" t="s">
        <v>412</v>
      </c>
      <c r="C775" s="4" t="s">
        <v>558</v>
      </c>
      <c r="D775" s="3" t="str">
        <f>HYPERLINK("http://www.monitor.co.ug/News/National/-/688334/1404566/-/ahy3rnz/-/index.html")</f>
        <v>http://www.monitor.co.ug/News/National/-/688334/1404566/-/ahy3rnz/-/index.html</v>
      </c>
    </row>
    <row r="776" spans="1:4" ht="15">
      <c r="A776" s="3" t="s">
        <v>410</v>
      </c>
      <c r="B776" s="4" t="s">
        <v>255</v>
      </c>
      <c r="C776" s="4" t="s">
        <v>557</v>
      </c>
      <c r="D776" s="3" t="str">
        <f>HYPERLINK("http://www.newvision.co.ug/news/319203-minister-warns-sabiny-on-fresh-landslides.html")</f>
        <v>http://www.newvision.co.ug/news/319203-minister-warns-sabiny-on-fresh-landslides.html</v>
      </c>
    </row>
    <row r="777" spans="1:4" ht="15">
      <c r="A777" s="3" t="s">
        <v>410</v>
      </c>
      <c r="B777" s="4" t="s">
        <v>411</v>
      </c>
      <c r="C777" s="4" t="s">
        <v>559</v>
      </c>
      <c r="D777" s="3" t="str">
        <f>HYPERLINK("http://www.monitor.co.ug/News/National/-/688334/1278688/-/bgpyuyz/-/index.html")</f>
        <v>http://www.monitor.co.ug/News/National/-/688334/1278688/-/bgpyuyz/-/index.html</v>
      </c>
    </row>
    <row r="778" spans="1:4" ht="15">
      <c r="A778" s="3" t="s">
        <v>413</v>
      </c>
      <c r="B778" s="5">
        <v>41311</v>
      </c>
      <c r="C778" s="4" t="s">
        <v>592</v>
      </c>
      <c r="D778" s="3" t="str">
        <f>HYPERLINK("http://www.monitor.co.ug/OpEd/Commentary/The-river-god-and-twilight-tales-from-Kasese-District/-/689364/1869398/-/irmasb/-/index.html")</f>
        <v>http://www.monitor.co.ug/OpEd/Commentary/The-river-god-and-twilight-tales-from-Kasese-District/-/689364/1869398/-/irmasb/-/index.html</v>
      </c>
    </row>
    <row r="779" spans="1:4" ht="15">
      <c r="A779" s="3" t="s">
        <v>413</v>
      </c>
      <c r="B779" s="5">
        <v>41338</v>
      </c>
      <c r="C779" s="4" t="s">
        <v>589</v>
      </c>
      <c r="D779" s="3" t="str">
        <f>HYPERLINK("http://www.newvision.co.ug/news/642322-river-nyamwamba-spills-wrath.html")</f>
        <v>http://www.newvision.co.ug/news/642322-river-nyamwamba-spills-wrath.html</v>
      </c>
    </row>
    <row r="780" spans="1:4" ht="15">
      <c r="A780" s="3" t="s">
        <v>413</v>
      </c>
      <c r="B780" s="5">
        <v>41340</v>
      </c>
      <c r="C780" s="4" t="s">
        <v>593</v>
      </c>
      <c r="D780" s="3" t="str">
        <f>HYPERLINK("http://www.newvision.co.ug/news/644646-govt-says-police-right-to-stop-mumbere.html")</f>
        <v>http://www.newvision.co.ug/news/644646-govt-says-police-right-to-stop-mumbere.html</v>
      </c>
    </row>
    <row r="781" spans="1:4" ht="15">
      <c r="A781" s="3" t="s">
        <v>413</v>
      </c>
      <c r="B781" s="5">
        <v>41369</v>
      </c>
      <c r="C781" s="4" t="s">
        <v>563</v>
      </c>
      <c r="D781" s="3" t="str">
        <f>HYPERLINK("http://www.newvision.co.ug/news/642335-govt-warns-of-possible-cholera-outbreak-in-kasese.html")</f>
        <v>http://www.newvision.co.ug/news/642335-govt-warns-of-possible-cholera-outbreak-in-kasese.html</v>
      </c>
    </row>
    <row r="782" spans="1:4" ht="15">
      <c r="A782" s="3" t="s">
        <v>413</v>
      </c>
      <c r="B782" s="5">
        <v>41399</v>
      </c>
      <c r="C782" s="4" t="s">
        <v>563</v>
      </c>
      <c r="D782" s="3" t="str">
        <f>HYPERLINK("http://www.newvision.co.ug/news/642347-kasese-floods-displace-7-000.html")</f>
        <v>http://www.newvision.co.ug/news/642347-kasese-floods-displace-7-000.html</v>
      </c>
    </row>
    <row r="783" spans="1:4" ht="15">
      <c r="A783" s="3" t="s">
        <v>413</v>
      </c>
      <c r="B783" s="5">
        <v>41731</v>
      </c>
      <c r="C783" s="4" t="s">
        <v>594</v>
      </c>
      <c r="D783" s="3" t="str">
        <f>HYPERLINK("http://www.monitor.co.ug/News/National/Mudslides-destroy-homes-in-Kasese/-/688334/2171818/-/qy9gxi/-/index.html")</f>
        <v>http://www.monitor.co.ug/News/National/Mudslides-destroy-homes-in-Kasese/-/688334/2171818/-/qy9gxi/-/index.html</v>
      </c>
    </row>
    <row r="784" spans="1:4" ht="15">
      <c r="A784" s="3" t="s">
        <v>413</v>
      </c>
      <c r="B784" s="5">
        <v>41791</v>
      </c>
      <c r="C784" s="4" t="s">
        <v>598</v>
      </c>
      <c r="D784" s="3" t="str">
        <f>HYPERLINK("http://www.monitor.co.ug/News/National/Food-shortage-looms-in-Rwenzori-region/-/688334/2135476/-/s54vb7/-/index.html")</f>
        <v>http://www.monitor.co.ug/News/National/Food-shortage-looms-in-Rwenzori-region/-/688334/2135476/-/s54vb7/-/index.html</v>
      </c>
    </row>
    <row r="785" spans="1:4" ht="15">
      <c r="A785" s="3" t="s">
        <v>413</v>
      </c>
      <c r="B785" s="4" t="s">
        <v>414</v>
      </c>
      <c r="C785" s="4" t="s">
        <v>704</v>
      </c>
      <c r="D785" s="3" t="str">
        <f>HYPERLINK("http://www.monitor.co.ug/Magazines/PeoplePower/Muntu-settles-into-FDC-top-job-amid-challenges/-/689844/1669702/-/354shm/-/index.html")</f>
        <v>http://www.monitor.co.ug/Magazines/PeoplePower/Muntu-settles-into-FDC-top-job-amid-challenges/-/689844/1669702/-/354shm/-/index.html</v>
      </c>
    </row>
    <row r="786" spans="1:4" ht="15">
      <c r="A786" s="3" t="s">
        <v>413</v>
      </c>
      <c r="B786" s="4" t="s">
        <v>415</v>
      </c>
      <c r="C786" s="4" t="s">
        <v>593</v>
      </c>
      <c r="D786" s="3" t="str">
        <f>HYPERLINK("http://www.monitor.co.ug/Magazines/PeoplePower/Fury-as-pigs-are-sneaked-into-House/-/689844/2357288/-/7ftwjd/-/index.html")</f>
        <v>http://www.monitor.co.ug/Magazines/PeoplePower/Fury-as-pigs-are-sneaked-into-House/-/689844/2357288/-/7ftwjd/-/index.html</v>
      </c>
    </row>
    <row r="787" spans="1:4" ht="15">
      <c r="A787" s="3" t="s">
        <v>416</v>
      </c>
      <c r="B787" s="5">
        <v>39547</v>
      </c>
      <c r="C787" s="4" t="s">
        <v>563</v>
      </c>
      <c r="D787" s="3" t="str">
        <f>HYPERLINK("http://www.monitor.co.ug/News/National/-/688334/749294/-/vxctd9/-/index.html")</f>
        <v>http://www.monitor.co.ug/News/National/-/688334/749294/-/vxctd9/-/index.html</v>
      </c>
    </row>
    <row r="788" spans="1:4" ht="15">
      <c r="A788" s="3" t="s">
        <v>416</v>
      </c>
      <c r="B788" s="5">
        <v>40271</v>
      </c>
      <c r="C788" s="4" t="s">
        <v>563</v>
      </c>
      <c r="D788" s="3" t="str">
        <f>HYPERLINK("http://www.monitor.co.ug/OpEd/Letters/-/806314/872724/-/2twa6fz/-/index.html")</f>
        <v>http://www.monitor.co.ug/OpEd/Letters/-/806314/872724/-/2twa6fz/-/index.html</v>
      </c>
    </row>
    <row r="789" spans="1:4" ht="15">
      <c r="A789" s="3" t="s">
        <v>416</v>
      </c>
      <c r="B789" s="5">
        <v>40765</v>
      </c>
      <c r="C789" s="4" t="s">
        <v>558</v>
      </c>
      <c r="D789" s="3" t="str">
        <f>HYPERLINK("http://www.newvision.co.ug/news/18285-tullow-provides-relief-support-to-bulambuli-landslide-victims-worth-sh130m.html")</f>
        <v>http://www.newvision.co.ug/news/18285-tullow-provides-relief-support-to-bulambuli-landslide-victims-worth-sh130m.html</v>
      </c>
    </row>
    <row r="790" spans="1:4" ht="15">
      <c r="A790" s="3" t="s">
        <v>416</v>
      </c>
      <c r="B790" s="5">
        <v>40858</v>
      </c>
      <c r="C790" s="4" t="s">
        <v>759</v>
      </c>
      <c r="D790" s="3" t="str">
        <f>HYPERLINK("http://www.newvision.co.ug/news/29952-continuous-floods-hit-teso.html")</f>
        <v>http://www.newvision.co.ug/news/29952-continuous-floods-hit-teso.html</v>
      </c>
    </row>
    <row r="791" spans="1:4" ht="15">
      <c r="A791" s="3" t="s">
        <v>416</v>
      </c>
      <c r="B791" s="5">
        <v>40945</v>
      </c>
      <c r="C791" s="4" t="s">
        <v>764</v>
      </c>
      <c r="D791" s="3" t="str">
        <f>HYPERLINK("http://www.monitor.co.ug/News/National/Teso-civil-society-wants-audit-of-2007-flood-funds/-/688334/1418474/-/dtd78i/-/index.html")</f>
        <v>http://www.monitor.co.ug/News/National/Teso-civil-society-wants-audit-of-2007-flood-funds/-/688334/1418474/-/dtd78i/-/index.html</v>
      </c>
    </row>
    <row r="792" spans="1:4" ht="15">
      <c r="A792" s="3" t="s">
        <v>416</v>
      </c>
      <c r="B792" s="5">
        <v>41071</v>
      </c>
      <c r="C792" s="4" t="s">
        <v>560</v>
      </c>
      <c r="D792" s="3" t="str">
        <f>HYPERLINK("http://www.monitor.co.ug/News/National/Lightning--tear-gas--rains-disrupt-PLE-37-year-old-man-turns-up/-/688334/1612514/-/lw51go/-/index.html")</f>
        <v>http://www.monitor.co.ug/News/National/Lightning--tear-gas--rains-disrupt-PLE-37-year-old-man-turns-up/-/688334/1612514/-/lw51go/-/index.html</v>
      </c>
    </row>
    <row r="793" spans="1:4" ht="15">
      <c r="A793" s="3" t="s">
        <v>416</v>
      </c>
      <c r="B793" s="5">
        <v>41740</v>
      </c>
      <c r="C793" s="4" t="s">
        <v>52</v>
      </c>
      <c r="D793" s="3" t="str">
        <f>HYPERLINK("http://www.monitor.co.ug/News/National/Heavy-rains--fewer-papers--empty-stomachs-/-/688334/2509458/-/ek8i0vz/-/index.html")</f>
        <v>http://www.monitor.co.ug/News/National/Heavy-rains--fewer-papers--empty-stomachs-/-/688334/2509458/-/ek8i0vz/-/index.html</v>
      </c>
    </row>
    <row r="794" spans="1:4" ht="15">
      <c r="A794" s="3" t="s">
        <v>416</v>
      </c>
      <c r="B794" s="5">
        <v>42220</v>
      </c>
      <c r="C794" s="4" t="s">
        <v>473</v>
      </c>
      <c r="D794" s="3" t="str">
        <f>HYPERLINK("http://www.monitor.co.ug/News/National/Bad-roads-paralyse-trade-in-Karamoja/-/688334/2678566/-/gbejpfz/-/index.html")</f>
        <v>http://www.monitor.co.ug/News/National/Bad-roads-paralyse-trade-in-Karamoja/-/688334/2678566/-/gbejpfz/-/index.html</v>
      </c>
    </row>
    <row r="795" spans="1:4" ht="15">
      <c r="A795" s="3" t="s">
        <v>416</v>
      </c>
      <c r="B795" s="4" t="s">
        <v>49</v>
      </c>
      <c r="C795" s="4" t="s">
        <v>563</v>
      </c>
      <c r="D795" s="3" t="str">
        <f>HYPERLINK("http://www.monitor.co.ug/News/National/-/688334/1271962/-/bgursqz/-/index.html")</f>
        <v>http://www.monitor.co.ug/News/National/-/688334/1271962/-/bgursqz/-/index.html</v>
      </c>
    </row>
    <row r="796" spans="1:4" ht="15">
      <c r="A796" s="3" t="s">
        <v>416</v>
      </c>
      <c r="B796" s="4" t="s">
        <v>425</v>
      </c>
      <c r="C796" s="4" t="s">
        <v>553</v>
      </c>
      <c r="D796" s="3" t="str">
        <f>HYPERLINK("http://www.newvision.co.ug/news/637288-floods-ravage-districts.html")</f>
        <v>http://www.newvision.co.ug/news/637288-floods-ravage-districts.html</v>
      </c>
    </row>
    <row r="797" spans="1:4" ht="15">
      <c r="A797" s="3" t="s">
        <v>416</v>
      </c>
      <c r="B797" s="4" t="s">
        <v>422</v>
      </c>
      <c r="C797" s="4" t="s">
        <v>763</v>
      </c>
      <c r="D797" s="3" t="str">
        <f>HYPERLINK("http://www.monitor.co.ug/News/National/New-term-blurred-as-rain-washes-away-school-path/-/688334/1405878/-/gv41jlz/-/index.html")</f>
        <v>http://www.monitor.co.ug/News/National/New-term-blurred-as-rain-washes-away-school-path/-/688334/1405878/-/gv41jlz/-/index.html</v>
      </c>
    </row>
    <row r="798" spans="1:4" ht="15">
      <c r="A798" s="3" t="s">
        <v>416</v>
      </c>
      <c r="B798" s="4" t="s">
        <v>423</v>
      </c>
      <c r="C798" s="4" t="s">
        <v>764</v>
      </c>
      <c r="D798" s="3" t="str">
        <f>HYPERLINK("http://www.newvision.co.ug/news/615104-katakwi-district-gets-food-boost.html")</f>
        <v>http://www.newvision.co.ug/news/615104-katakwi-district-gets-food-boost.html</v>
      </c>
    </row>
    <row r="799" spans="1:4" ht="15">
      <c r="A799" s="3" t="s">
        <v>416</v>
      </c>
      <c r="B799" s="4" t="s">
        <v>4</v>
      </c>
      <c r="C799" s="4" t="s">
        <v>473</v>
      </c>
      <c r="D799" s="3" t="str">
        <f>HYPERLINK("http://www.monitor.co.ug/News/National/-/688334/1219030/-/bkenr3z/-/index.html")</f>
        <v>http://www.monitor.co.ug/News/National/-/688334/1219030/-/bkenr3z/-/index.html</v>
      </c>
    </row>
    <row r="800" spans="1:4" ht="15">
      <c r="A800" s="3" t="s">
        <v>416</v>
      </c>
      <c r="B800" s="4" t="s">
        <v>223</v>
      </c>
      <c r="C800" s="4" t="s">
        <v>801</v>
      </c>
      <c r="D800" s="3" t="str">
        <f>HYPERLINK("http://www.monitor.co.ug/News/National/-/688334/1012362/-/cnox1oz/-/index.html")</f>
        <v>http://www.monitor.co.ug/News/National/-/688334/1012362/-/cnox1oz/-/index.html</v>
      </c>
    </row>
    <row r="801" spans="1:4" ht="15">
      <c r="A801" s="3" t="s">
        <v>416</v>
      </c>
      <c r="B801" s="4" t="s">
        <v>419</v>
      </c>
      <c r="C801" s="4" t="s">
        <v>563</v>
      </c>
      <c r="D801" s="3" t="str">
        <f>HYPERLINK("http://www.monitor.co.ug/artsculture/-/691192/694350/-/frag4pz/-/index.html")</f>
        <v>http://www.monitor.co.ug/artsculture/-/691192/694350/-/frag4pz/-/index.html</v>
      </c>
    </row>
    <row r="802" spans="1:4" ht="15">
      <c r="A802" s="3" t="s">
        <v>416</v>
      </c>
      <c r="B802" s="4" t="s">
        <v>421</v>
      </c>
      <c r="C802" s="4" t="s">
        <v>558</v>
      </c>
      <c r="D802" s="3" t="str">
        <f>HYPERLINK("http://www.newvision.co.ug/news/637448-floods-affect-over-34-0000-countrywide.html")</f>
        <v>http://www.newvision.co.ug/news/637448-floods-affect-over-34-0000-countrywide.html</v>
      </c>
    </row>
    <row r="803" spans="1:4" ht="15">
      <c r="A803" s="3" t="s">
        <v>416</v>
      </c>
      <c r="B803" s="4" t="s">
        <v>417</v>
      </c>
      <c r="C803" s="4" t="s">
        <v>558</v>
      </c>
      <c r="D803" s="3" t="str">
        <f>HYPERLINK("http://www.newvision.co.ug/news/637477-floods-ravage-8-900-homes.html")</f>
        <v>http://www.newvision.co.ug/news/637477-floods-ravage-8-900-homes.html</v>
      </c>
    </row>
    <row r="804" spans="1:4" ht="15">
      <c r="A804" s="3" t="s">
        <v>416</v>
      </c>
      <c r="B804" s="4" t="s">
        <v>317</v>
      </c>
      <c r="C804" s="4" t="s">
        <v>529</v>
      </c>
      <c r="D804" s="3" t="str">
        <f>HYPERLINK("http://www.newvision.co.ug/news/636684-floods-disrupt-uce-exams-in-katakwi.html")</f>
        <v>http://www.newvision.co.ug/news/636684-floods-disrupt-uce-exams-in-katakwi.html</v>
      </c>
    </row>
    <row r="805" spans="1:4" ht="15">
      <c r="A805" s="3" t="s">
        <v>416</v>
      </c>
      <c r="B805" s="4" t="s">
        <v>424</v>
      </c>
      <c r="C805" s="4" t="s">
        <v>558</v>
      </c>
      <c r="D805" s="3" t="str">
        <f>HYPERLINK("http://www.monitor.co.ug/News/National/34-000-affected-by-floods-as-Teso-leaders-speak-on-Awoja/-/688334/1626288/-/kkqp5pz/-/index.html")</f>
        <v>http://www.monitor.co.ug/News/National/34-000-affected-by-floods-as-Teso-leaders-speak-on-Awoja/-/688334/1626288/-/kkqp5pz/-/index.html</v>
      </c>
    </row>
    <row r="806" spans="1:4" ht="15">
      <c r="A806" s="3" t="s">
        <v>416</v>
      </c>
      <c r="B806" s="4" t="s">
        <v>258</v>
      </c>
      <c r="C806" s="4" t="s">
        <v>563</v>
      </c>
      <c r="D806" s="3" t="str">
        <f>HYPERLINK("http://www.monitor.co.ug/News/National/-/688334/1223834/-/bjw4i1z/-/index.html")</f>
        <v>http://www.monitor.co.ug/News/National/-/688334/1223834/-/bjw4i1z/-/index.html</v>
      </c>
    </row>
    <row r="807" spans="1:4" ht="15">
      <c r="A807" s="3" t="s">
        <v>416</v>
      </c>
      <c r="B807" s="4" t="s">
        <v>227</v>
      </c>
      <c r="C807" s="4" t="s">
        <v>765</v>
      </c>
      <c r="D807" s="3" t="str">
        <f>HYPERLINK("http://www.newvision.co.ug/news/608350-floods-devastate-amuria-district.html")</f>
        <v>http://www.newvision.co.ug/news/608350-floods-devastate-amuria-district.html</v>
      </c>
    </row>
    <row r="808" spans="1:4" ht="15">
      <c r="A808" s="3" t="s">
        <v>416</v>
      </c>
      <c r="B808" s="4" t="s">
        <v>225</v>
      </c>
      <c r="C808" s="4" t="s">
        <v>563</v>
      </c>
      <c r="D808" s="3" t="str">
        <f>HYPERLINK("http://www.newvision.co.ug/news/610354-floods-destroy-crops-in-10-districts.html")</f>
        <v>http://www.newvision.co.ug/news/610354-floods-destroy-crops-in-10-districts.html</v>
      </c>
    </row>
    <row r="809" spans="1:4" ht="15">
      <c r="A809" s="3" t="s">
        <v>416</v>
      </c>
      <c r="B809" s="4" t="s">
        <v>420</v>
      </c>
      <c r="C809" s="4" t="s">
        <v>563</v>
      </c>
      <c r="D809" s="3" t="str">
        <f>HYPERLINK("http://www.newvision.co.ug/news/610345-katakwi-floods-destroy-property-worth-sh10b.html")</f>
        <v>http://www.newvision.co.ug/news/610345-katakwi-floods-destroy-property-worth-sh10b.html</v>
      </c>
    </row>
    <row r="810" spans="1:4" ht="15">
      <c r="A810" s="3" t="s">
        <v>416</v>
      </c>
      <c r="B810" s="4" t="s">
        <v>32</v>
      </c>
      <c r="C810" s="4" t="s">
        <v>128</v>
      </c>
      <c r="D810" s="3" t="str">
        <f>HYPERLINK("http://www.monitor.co.ug/News/National/-/688334/787608/-/w0ro85/-/index.html")</f>
        <v>http://www.monitor.co.ug/News/National/-/688334/787608/-/w0ro85/-/index.html</v>
      </c>
    </row>
    <row r="811" spans="1:4" ht="15">
      <c r="A811" s="3" t="s">
        <v>416</v>
      </c>
      <c r="B811" s="4" t="s">
        <v>32</v>
      </c>
      <c r="C811" s="4" t="s">
        <v>563</v>
      </c>
      <c r="D811" s="3" t="str">
        <f>HYPERLINK("http://www.monitor.co.ug/News/Education/-/688336/788086/-/10i5l1n/-/index.html")</f>
        <v>http://www.monitor.co.ug/News/Education/-/688336/788086/-/10i5l1n/-/index.html</v>
      </c>
    </row>
    <row r="812" spans="1:4" ht="15">
      <c r="A812" s="3" t="s">
        <v>416</v>
      </c>
      <c r="B812" s="4" t="s">
        <v>418</v>
      </c>
      <c r="C812" s="4" t="s">
        <v>763</v>
      </c>
      <c r="D812" s="3" t="str">
        <f>HYPERLINK("http://www.monitor.co.ug/OpEd/Commentary/-/689364/712672/-/b5g0fgz/-/index.html")</f>
        <v>http://www.monitor.co.ug/OpEd/Commentary/-/689364/712672/-/b5g0fgz/-/index.html</v>
      </c>
    </row>
    <row r="813" spans="1:4" ht="15">
      <c r="A813" s="3" t="s">
        <v>416</v>
      </c>
      <c r="B813" s="4" t="s">
        <v>418</v>
      </c>
      <c r="C813" s="4" t="s">
        <v>128</v>
      </c>
      <c r="D813" s="3" t="str">
        <f>HYPERLINK("http://www.monitor.co.ug/News/National/-/688334/1010284/-/cnqcenz/-/index.html")</f>
        <v>http://www.monitor.co.ug/News/National/-/688334/1010284/-/cnqcenz/-/index.html</v>
      </c>
    </row>
    <row r="814" spans="1:4" ht="15">
      <c r="A814" s="3" t="s">
        <v>416</v>
      </c>
      <c r="B814" s="4" t="s">
        <v>5</v>
      </c>
      <c r="C814" s="4" t="s">
        <v>473</v>
      </c>
      <c r="D814" s="3" t="str">
        <f>HYPERLINK("http://www.newvision.co.ug/news/482360-cheptui-awoja-bridges-closed.html")</f>
        <v>http://www.newvision.co.ug/news/482360-cheptui-awoja-bridges-closed.html</v>
      </c>
    </row>
    <row r="815" spans="1:4" ht="15">
      <c r="A815" s="3" t="s">
        <v>416</v>
      </c>
      <c r="B815" s="4" t="s">
        <v>5</v>
      </c>
      <c r="C815" s="4" t="s">
        <v>563</v>
      </c>
      <c r="D815" s="3" t="str">
        <f>HYPERLINK("http://www.monitor.co.ug/News/Education/-/688336/712708/-/10dps5l/-/index.html")</f>
        <v>http://www.monitor.co.ug/News/Education/-/688336/712708/-/10dps5l/-/index.html</v>
      </c>
    </row>
    <row r="816" spans="1:4" ht="15">
      <c r="A816" s="3" t="s">
        <v>416</v>
      </c>
      <c r="B816" s="4" t="s">
        <v>5</v>
      </c>
      <c r="C816" s="4" t="s">
        <v>563</v>
      </c>
      <c r="D816" s="3" t="str">
        <f>HYPERLINK("http://www.monitor.co.ug/News/National/-/688334/1223540/-/bjw6tmz/-/index.html")</f>
        <v>http://www.monitor.co.ug/News/National/-/688334/1223540/-/bjw6tmz/-/index.html</v>
      </c>
    </row>
    <row r="817" spans="1:4" ht="15">
      <c r="A817" s="3" t="s">
        <v>426</v>
      </c>
      <c r="B817" s="4" t="s">
        <v>224</v>
      </c>
      <c r="C817" s="4" t="s">
        <v>550</v>
      </c>
      <c r="D817" s="3" t="str">
        <f>HYPERLINK("http://www.newvision.co.ug/news/610586-bududa-survivors-eye-kayunga.html")</f>
        <v>http://www.newvision.co.ug/news/610586-bududa-survivors-eye-kayunga.html</v>
      </c>
    </row>
    <row r="818" spans="1:4" ht="15">
      <c r="A818" s="3" t="s">
        <v>408</v>
      </c>
      <c r="B818" s="5">
        <v>40238</v>
      </c>
      <c r="C818" s="4" t="s">
        <v>727</v>
      </c>
      <c r="D818" s="3" t="str">
        <f>HYPERLINK("http://www.monitor.co.ug/Magazines/PeoplePower/-/689844/834654/-/57j4co/-/index.html")</f>
        <v>http://www.monitor.co.ug/Magazines/PeoplePower/-/689844/834654/-/57j4co/-/index.html</v>
      </c>
    </row>
    <row r="819" spans="1:4" ht="15">
      <c r="A819" s="3" t="s">
        <v>408</v>
      </c>
      <c r="B819" s="5">
        <v>40820</v>
      </c>
      <c r="C819" s="4" t="s">
        <v>739</v>
      </c>
      <c r="D819" s="3" t="str">
        <f>HYPERLINK("http://www.monitor.co.ug/Magazines/PeoplePower/-/689844/1141672/-/14gdra2z/-/index.html")</f>
        <v>http://www.monitor.co.ug/Magazines/PeoplePower/-/689844/1141672/-/14gdra2z/-/index.html</v>
      </c>
    </row>
    <row r="820" spans="1:4" ht="15">
      <c r="A820" s="3" t="s">
        <v>408</v>
      </c>
      <c r="B820" s="5">
        <v>41129</v>
      </c>
      <c r="C820" s="4" t="s">
        <v>739</v>
      </c>
      <c r="D820" s="3" t="str">
        <f>HYPERLINK("http://www.monitor.co.ug/News/National/Background-to-the-Lost-Counties-crisis/-/688334/1473762/-/dn4iapz/-/index.html")</f>
        <v>http://www.monitor.co.ug/News/National/Background-to-the-Lost-Counties-crisis/-/688334/1473762/-/dn4iapz/-/index.html</v>
      </c>
    </row>
    <row r="821" spans="1:4" ht="15">
      <c r="A821" s="3" t="s">
        <v>427</v>
      </c>
      <c r="B821" s="4" t="s">
        <v>196</v>
      </c>
      <c r="C821" s="4" t="s">
        <v>572</v>
      </c>
      <c r="D821" s="3" t="str">
        <f>HYPERLINK("http://www.monitor.co.ug/OpEd/Commentary/-/689364/883892/-/ah1qhnz/-/index.html")</f>
        <v>http://www.monitor.co.ug/OpEd/Commentary/-/689364/883892/-/ah1qhnz/-/index.html</v>
      </c>
    </row>
    <row r="822" spans="1:4" ht="15">
      <c r="A822" s="3" t="s">
        <v>427</v>
      </c>
      <c r="B822" s="4" t="s">
        <v>222</v>
      </c>
      <c r="C822" s="4" t="s">
        <v>603</v>
      </c>
      <c r="D822" s="3" t="str">
        <f>HYPERLINK("http://www.newvision.co.ug/news/612407-relocating-bududa-victims-requires-time.html")</f>
        <v>http://www.newvision.co.ug/news/612407-relocating-bududa-victims-requires-time.html</v>
      </c>
    </row>
    <row r="823" spans="1:4" ht="15">
      <c r="A823" s="3" t="s">
        <v>427</v>
      </c>
      <c r="B823" s="4" t="s">
        <v>10</v>
      </c>
      <c r="C823" s="4" t="s">
        <v>426</v>
      </c>
      <c r="D823" s="3" t="str">
        <f>HYPERLINK("http://www.monitor.co.ug/Magazines/Farming/-/689860/832756/-/wrwf5n/-/index.html")</f>
        <v>http://www.monitor.co.ug/Magazines/Farming/-/689860/832756/-/wrwf5n/-/index.html</v>
      </c>
    </row>
    <row r="824" spans="1:4" ht="15">
      <c r="A824" s="3" t="s">
        <v>429</v>
      </c>
      <c r="B824" s="5">
        <v>38880</v>
      </c>
      <c r="C824" s="4" t="s">
        <v>426</v>
      </c>
      <c r="D824" s="3" t="str">
        <f>HYPERLINK("http://www.newvision.co.ug/news/454683-floods-hit-east-africa.html")</f>
        <v>http://www.newvision.co.ug/news/454683-floods-hit-east-africa.html</v>
      </c>
    </row>
    <row r="825" spans="1:4" ht="15">
      <c r="A825" s="3" t="s">
        <v>429</v>
      </c>
      <c r="B825" s="5">
        <v>40301</v>
      </c>
      <c r="C825" s="4" t="s">
        <v>603</v>
      </c>
      <c r="D825" s="3" t="str">
        <f>HYPERLINK("http://www.monitor.co.ug/OpEd/Commentary/-/689364/873306/-/ahnej4z/-/index.html")</f>
        <v>http://www.monitor.co.ug/OpEd/Commentary/-/689364/873306/-/ahnej4z/-/index.html</v>
      </c>
    </row>
    <row r="826" spans="1:4" ht="15">
      <c r="A826" s="3" t="s">
        <v>429</v>
      </c>
      <c r="B826" s="5">
        <v>40362</v>
      </c>
      <c r="C826" s="4" t="s">
        <v>603</v>
      </c>
      <c r="D826" s="3" t="str">
        <f>HYPERLINK("http://www.monitor.co.ug/News/National/-/688334/874564/-/wj6rgs/-/index.html")</f>
        <v>http://www.monitor.co.ug/News/National/-/688334/874564/-/wj6rgs/-/index.html</v>
      </c>
    </row>
    <row r="827" spans="1:4" ht="15">
      <c r="A827" s="3" t="s">
        <v>429</v>
      </c>
      <c r="B827" s="5">
        <v>40362</v>
      </c>
      <c r="C827" s="4" t="s">
        <v>603</v>
      </c>
      <c r="D827" s="3" t="str">
        <f>HYPERLINK("http://www.monitor.co.ug/OpEd/Editorial/-/689360/874608/-/rex3rpz/-/index.html")</f>
        <v>http://www.monitor.co.ug/OpEd/Editorial/-/689360/874608/-/rex3rpz/-/index.html</v>
      </c>
    </row>
    <row r="828" spans="1:4" ht="15">
      <c r="A828" s="3" t="s">
        <v>429</v>
      </c>
      <c r="B828" s="5">
        <v>41308</v>
      </c>
      <c r="C828" s="4" t="s">
        <v>808</v>
      </c>
      <c r="D828" s="3" t="str">
        <f>HYPERLINK("http://www.newvision.co.ug/news/640256-refugees-flood-uganda-after-fresh-drc-fighting.html")</f>
        <v>http://www.newvision.co.ug/news/640256-refugees-flood-uganda-after-fresh-drc-fighting.html</v>
      </c>
    </row>
    <row r="829" spans="1:4" ht="15">
      <c r="A829" s="3" t="s">
        <v>429</v>
      </c>
      <c r="B829" s="5">
        <v>41401</v>
      </c>
      <c r="C829" s="4" t="s">
        <v>586</v>
      </c>
      <c r="D829" s="3" t="str">
        <f>HYPERLINK("http://www.monitor.co.ug/OpEd/Letters/Why-did-President-Museveni-give-money-to-fuel-fire-victims-/-/806314/1905944/-/5qysiq/-/index.html")</f>
        <v>http://www.monitor.co.ug/OpEd/Letters/Why-did-President-Museveni-give-money-to-fuel-fire-victims-/-/806314/1905944/-/5qysiq/-/index.html</v>
      </c>
    </row>
    <row r="830" spans="1:4" ht="15">
      <c r="A830" s="3" t="s">
        <v>429</v>
      </c>
      <c r="B830" s="5">
        <v>41428</v>
      </c>
      <c r="C830" s="4" t="s">
        <v>809</v>
      </c>
      <c r="D830" s="3" t="str">
        <f>HYPERLINK("http://www.monitor.co.ug/OpEd/Letters/Take-action-against-deforestation-in-Kisoro/-/806314/1712492/-/tsged5/-/index.html")</f>
        <v>http://www.monitor.co.ug/OpEd/Letters/Take-action-against-deforestation-in-Kisoro/-/806314/1712492/-/tsged5/-/index.html</v>
      </c>
    </row>
    <row r="831" spans="1:4" ht="15">
      <c r="A831" s="3" t="s">
        <v>429</v>
      </c>
      <c r="B831" s="4" t="s">
        <v>108</v>
      </c>
      <c r="C831" s="4" t="s">
        <v>94</v>
      </c>
      <c r="D831" s="3" t="str">
        <f>HYPERLINK("http://www.monitor.co.ug/News/National/Locals-to-protest-as-Museveni-visits/-/688334/2588266/-/qm5flqz/-/index.html")</f>
        <v>http://www.monitor.co.ug/News/National/Locals-to-protest-as-Museveni-visits/-/688334/2588266/-/qm5flqz/-/index.html</v>
      </c>
    </row>
    <row r="832" spans="1:4" ht="15">
      <c r="A832" s="3" t="s">
        <v>429</v>
      </c>
      <c r="B832" s="4" t="s">
        <v>97</v>
      </c>
      <c r="C832" s="4" t="s">
        <v>570</v>
      </c>
      <c r="D832" s="3" t="str">
        <f>HYPERLINK("http://www.newvision.co.ug/news/619020-rains-weaken-kabale-soils.html")</f>
        <v>http://www.newvision.co.ug/news/619020-rains-weaken-kabale-soils.html</v>
      </c>
    </row>
    <row r="833" spans="1:4" ht="15">
      <c r="A833" s="3" t="s">
        <v>429</v>
      </c>
      <c r="B833" s="4" t="s">
        <v>102</v>
      </c>
      <c r="C833" s="4" t="s">
        <v>94</v>
      </c>
      <c r="D833" s="3" t="str">
        <f>HYPERLINK("http://www.newvision.co.ug/news/940-3-killed-in-kisoro-landslides.html")</f>
        <v>http://www.newvision.co.ug/news/940-3-killed-in-kisoro-landslides.html</v>
      </c>
    </row>
    <row r="834" spans="1:4" ht="15">
      <c r="A834" s="3" t="s">
        <v>429</v>
      </c>
      <c r="B834" s="4" t="s">
        <v>103</v>
      </c>
      <c r="C834" s="4" t="s">
        <v>94</v>
      </c>
      <c r="D834" s="3" t="str">
        <f>HYPERLINK("http://www.newvision.co.ug/news/315705-3-killed-in-kisoro-landslides.html")</f>
        <v>http://www.newvision.co.ug/news/315705-3-killed-in-kisoro-landslides.html</v>
      </c>
    </row>
    <row r="835" spans="1:4" ht="15">
      <c r="A835" s="3" t="s">
        <v>429</v>
      </c>
      <c r="B835" s="4" t="s">
        <v>106</v>
      </c>
      <c r="C835" s="4" t="s">
        <v>505</v>
      </c>
      <c r="D835" s="3" t="str">
        <f>HYPERLINK("http://www.monitor.co.ug/News/National/Government-to-relocate-400-000-people-from-Mt--Elgon/-/688334/1436052/-/tntoom/-/index.html")</f>
        <v>http://www.monitor.co.ug/News/National/Government-to-relocate-400-000-people-from-Mt--Elgon/-/688334/1436052/-/tntoom/-/index.html</v>
      </c>
    </row>
    <row r="836" spans="1:4" ht="15">
      <c r="A836" s="3" t="s">
        <v>429</v>
      </c>
      <c r="B836" s="4" t="s">
        <v>334</v>
      </c>
      <c r="C836" s="4" t="s">
        <v>810</v>
      </c>
      <c r="D836" s="3" t="str">
        <f>HYPERLINK("http://www.monitor.co.ug/News/National/Rain-destroys-crops--flood-school/-/688334/1733214/-/7tl176/-/index.html")</f>
        <v>http://www.monitor.co.ug/News/National/Rain-destroys-crops--flood-school/-/688334/1733214/-/7tl176/-/index.html</v>
      </c>
    </row>
    <row r="837" spans="1:4" ht="15">
      <c r="A837" s="3" t="s">
        <v>430</v>
      </c>
      <c r="B837" s="5">
        <v>39275</v>
      </c>
      <c r="C837" s="4" t="s">
        <v>760</v>
      </c>
      <c r="D837" s="3" t="str">
        <f>HYPERLINK("http://www.monitor.co.ug/News/Education/-/688336/799086/-/10irt95/-/index.html")</f>
        <v>http://www.monitor.co.ug/News/Education/-/688336/799086/-/10irt95/-/index.html</v>
      </c>
    </row>
    <row r="838" spans="1:4" ht="15">
      <c r="A838" s="3" t="s">
        <v>431</v>
      </c>
      <c r="B838" s="5">
        <v>40338</v>
      </c>
      <c r="C838" s="4" t="s">
        <v>556</v>
      </c>
      <c r="D838" s="3" t="str">
        <f>HYPERLINK("http://www.newvision.co.ug/news/611666-news-in-brief.html")</f>
        <v>http://www.newvision.co.ug/news/611666-news-in-brief.html</v>
      </c>
    </row>
    <row r="839" spans="1:4" ht="15">
      <c r="A839" s="3" t="s">
        <v>431</v>
      </c>
      <c r="B839" s="5">
        <v>40705</v>
      </c>
      <c r="C839" s="4" t="s">
        <v>558</v>
      </c>
      <c r="D839" s="3" t="str">
        <f>HYPERLINK("http://www.newvision.co.ug/news/18933-floods-hit-eastern-uganda.html")</f>
        <v>http://www.newvision.co.ug/news/18933-floods-hit-eastern-uganda.html</v>
      </c>
    </row>
    <row r="840" spans="1:4" ht="15">
      <c r="A840" s="3" t="s">
        <v>431</v>
      </c>
      <c r="B840" s="5">
        <v>40733</v>
      </c>
      <c r="C840" s="4" t="s">
        <v>603</v>
      </c>
      <c r="D840" s="3" t="str">
        <f>HYPERLINK("http://www.newvision.co.ug/news/316434-govt-urged-on-landslide-victims.html")</f>
        <v>http://www.newvision.co.ug/news/316434-govt-urged-on-landslide-victims.html</v>
      </c>
    </row>
    <row r="841" spans="1:4" ht="15">
      <c r="A841" s="3" t="s">
        <v>431</v>
      </c>
      <c r="B841" s="5">
        <v>40733</v>
      </c>
      <c r="C841" s="4" t="s">
        <v>603</v>
      </c>
      <c r="D841" s="3" t="str">
        <f>HYPERLINK("http://www.newvision.co.ug/news/1669-govt-urged-on-landslide-victims.html")</f>
        <v>http://www.newvision.co.ug/news/1669-govt-urged-on-landslide-victims.html</v>
      </c>
    </row>
    <row r="842" spans="1:4" ht="15">
      <c r="A842" s="3" t="s">
        <v>431</v>
      </c>
      <c r="B842" s="5">
        <v>40733</v>
      </c>
      <c r="C842" s="4" t="s">
        <v>603</v>
      </c>
      <c r="D842" s="3" t="str">
        <f>HYPERLINK("http://www.newvision.co.ug/news/1669-govt-urged-on-landslide-victims.html")</f>
        <v>http://www.newvision.co.ug/news/1669-govt-urged-on-landslide-victims.html</v>
      </c>
    </row>
    <row r="843" spans="1:4" ht="15">
      <c r="A843" s="3" t="s">
        <v>431</v>
      </c>
      <c r="B843" s="5">
        <v>40733</v>
      </c>
      <c r="C843" s="4" t="s">
        <v>603</v>
      </c>
      <c r="D843" s="3" t="str">
        <f>HYPERLINK("http://www.newvision.co.ug/news/316434-govt-urged-on-landslide-victims.html")</f>
        <v>http://www.newvision.co.ug/news/316434-govt-urged-on-landslide-victims.html</v>
      </c>
    </row>
    <row r="844" spans="1:4" ht="15">
      <c r="A844" s="3" t="s">
        <v>431</v>
      </c>
      <c r="B844" s="5">
        <v>40764</v>
      </c>
      <c r="C844" s="4" t="s">
        <v>473</v>
      </c>
      <c r="D844" s="3" t="str">
        <f>HYPERLINK("http://www.monitor.co.ug/News/National/-/688334/1232278/-/bjbeiyz/-/index.html")</f>
        <v>http://www.monitor.co.ug/News/National/-/688334/1232278/-/bjbeiyz/-/index.html</v>
      </c>
    </row>
    <row r="845" spans="1:4" ht="15">
      <c r="A845" s="3" t="s">
        <v>431</v>
      </c>
      <c r="B845" s="4" t="s">
        <v>4</v>
      </c>
      <c r="C845" s="4" t="s">
        <v>473</v>
      </c>
      <c r="D845" s="3" t="str">
        <f>HYPERLINK("http://www.monitor.co.ug/News/National/-/688334/1219030/-/bkenr3z/-/index.html")</f>
        <v>http://www.monitor.co.ug/News/National/-/688334/1219030/-/bkenr3z/-/index.html</v>
      </c>
    </row>
    <row r="846" spans="1:4" ht="15">
      <c r="A846" s="3" t="s">
        <v>431</v>
      </c>
      <c r="B846" s="4" t="s">
        <v>434</v>
      </c>
      <c r="C846" s="4" t="s">
        <v>563</v>
      </c>
      <c r="D846" s="3" t="str">
        <f>HYPERLINK("http://www.monitor.co.ug/SpecialReports/46-dead-as-hunger-pounds-Karamoja--Teso/-/688342/1917310/-/mah9o2z/-/index.html")</f>
        <v>http://www.monitor.co.ug/SpecialReports/46-dead-as-hunger-pounds-Karamoja--Teso/-/688342/1917310/-/mah9o2z/-/index.html</v>
      </c>
    </row>
    <row r="847" spans="1:4" ht="15">
      <c r="A847" s="3" t="s">
        <v>431</v>
      </c>
      <c r="B847" s="4" t="s">
        <v>435</v>
      </c>
      <c r="C847" s="4" t="s">
        <v>563</v>
      </c>
      <c r="D847" s="3" t="str">
        <f>HYPERLINK("http://www.monitor.co.ug/News/National/Famine--more-disasters-feared-in-the-east/-/688334/2456380/-/3jpsw/-/index.html")</f>
        <v>http://www.monitor.co.ug/News/National/Famine--more-disasters-feared-in-the-east/-/688334/2456380/-/3jpsw/-/index.html</v>
      </c>
    </row>
    <row r="848" spans="1:4" ht="15">
      <c r="A848" s="3" t="s">
        <v>431</v>
      </c>
      <c r="B848" s="4" t="s">
        <v>421</v>
      </c>
      <c r="C848" s="4" t="s">
        <v>558</v>
      </c>
      <c r="D848" s="3" t="str">
        <f>HYPERLINK("http://www.newvision.co.ug/news/637448-floods-affect-over-34-0000-countrywide.html")</f>
        <v>http://www.newvision.co.ug/news/637448-floods-affect-over-34-0000-countrywide.html</v>
      </c>
    </row>
    <row r="849" spans="1:4" ht="15">
      <c r="A849" s="3" t="s">
        <v>431</v>
      </c>
      <c r="B849" s="4" t="s">
        <v>417</v>
      </c>
      <c r="C849" s="4" t="s">
        <v>558</v>
      </c>
      <c r="D849" s="3" t="str">
        <f>HYPERLINK("http://www.newvision.co.ug/news/637477-floods-ravage-8-900-homes.html")</f>
        <v>http://www.newvision.co.ug/news/637477-floods-ravage-8-900-homes.html</v>
      </c>
    </row>
    <row r="850" spans="1:4" ht="15">
      <c r="A850" s="3" t="s">
        <v>431</v>
      </c>
      <c r="B850" s="4" t="s">
        <v>424</v>
      </c>
      <c r="C850" s="4" t="s">
        <v>558</v>
      </c>
      <c r="D850" s="3" t="str">
        <f>HYPERLINK("http://www.monitor.co.ug/News/National/34-000-affected-by-floods-as-Teso-leaders-speak-on-Awoja/-/688334/1626288/-/kkqp5pz/-/index.html")</f>
        <v>http://www.monitor.co.ug/News/National/34-000-affected-by-floods-as-Teso-leaders-speak-on-Awoja/-/688334/1626288/-/kkqp5pz/-/index.html</v>
      </c>
    </row>
    <row r="851" spans="1:4" ht="15">
      <c r="A851" s="3" t="s">
        <v>431</v>
      </c>
      <c r="B851" s="4" t="s">
        <v>3</v>
      </c>
      <c r="C851" s="4" t="s">
        <v>734</v>
      </c>
      <c r="D851" s="3" t="str">
        <f>HYPERLINK("http://www.newvision.co.ug/news/618592-heavy-rains-flood-three-bridges-in-lango-region.html")</f>
        <v>http://www.newvision.co.ug/news/618592-heavy-rains-flood-three-bridges-in-lango-region.html</v>
      </c>
    </row>
    <row r="852" spans="1:4" ht="15">
      <c r="A852" s="3" t="s">
        <v>431</v>
      </c>
      <c r="B852" s="4" t="s">
        <v>432</v>
      </c>
      <c r="C852" s="4" t="s">
        <v>603</v>
      </c>
      <c r="D852" s="3" t="str">
        <f>HYPERLINK("http://www.monitor.co.ug/News/National/-/688334/1224250/-/bjvjtxz/-/index.html")</f>
        <v>http://www.monitor.co.ug/News/National/-/688334/1224250/-/bjvjtxz/-/index.html</v>
      </c>
    </row>
    <row r="853" spans="1:4" ht="15">
      <c r="A853" s="3" t="s">
        <v>431</v>
      </c>
      <c r="B853" s="4" t="s">
        <v>274</v>
      </c>
      <c r="C853" s="4" t="s">
        <v>558</v>
      </c>
      <c r="D853" s="3" t="str">
        <f>HYPERLINK("http://www.monitor.co.ug/News/National/-/688334/1279648/-/bgpancz/-/index.html")</f>
        <v>http://www.monitor.co.ug/News/National/-/688334/1279648/-/bgpancz/-/index.html</v>
      </c>
    </row>
    <row r="854" spans="1:4" ht="15">
      <c r="A854" s="3" t="s">
        <v>431</v>
      </c>
      <c r="B854" s="4" t="s">
        <v>433</v>
      </c>
      <c r="C854" s="4" t="s">
        <v>128</v>
      </c>
      <c r="D854" s="3" t="str">
        <f>HYPERLINK("http://www.monitor.co.ug/Business/Markets/-/688606/1297750/-/sovujj/-/index.html")</f>
        <v>http://www.monitor.co.ug/Business/Markets/-/688606/1297750/-/sovujj/-/index.html</v>
      </c>
    </row>
    <row r="855" spans="1:4" ht="15">
      <c r="A855" s="3" t="s">
        <v>431</v>
      </c>
      <c r="B855" s="4" t="s">
        <v>116</v>
      </c>
      <c r="C855" s="4" t="s">
        <v>128</v>
      </c>
      <c r="D855" s="3" t="str">
        <f>HYPERLINK("http://www.monitor.co.ug/Business/Technology/-/688612/1297128/-/8s85qhz/-/index.html")</f>
        <v>http://www.monitor.co.ug/Business/Technology/-/688612/1297128/-/8s85qhz/-/index.html</v>
      </c>
    </row>
    <row r="856" spans="1:4" ht="15">
      <c r="A856" s="3" t="s">
        <v>431</v>
      </c>
      <c r="B856" s="4" t="s">
        <v>418</v>
      </c>
      <c r="C856" s="4" t="s">
        <v>446</v>
      </c>
      <c r="D856" s="3" t="str">
        <f>HYPERLINK("http://www.monitor.co.ug/News/National/-/688334/1248194/-/bikpgfz/-/index.html")</f>
        <v>http://www.monitor.co.ug/News/National/-/688334/1248194/-/bikpgfz/-/index.html</v>
      </c>
    </row>
    <row r="857" spans="1:4" ht="15">
      <c r="A857" s="3" t="s">
        <v>431</v>
      </c>
      <c r="B857" s="4" t="s">
        <v>5</v>
      </c>
      <c r="C857" s="4" t="s">
        <v>563</v>
      </c>
      <c r="D857" s="3" t="str">
        <f>HYPERLINK("http://www.monitor.co.ug/News/Education/-/688336/712708/-/10dps5l/-/index.html")</f>
        <v>http://www.monitor.co.ug/News/Education/-/688336/712708/-/10dps5l/-/index.html</v>
      </c>
    </row>
    <row r="858" spans="1:4" ht="15">
      <c r="A858" s="3" t="s">
        <v>436</v>
      </c>
      <c r="B858" s="5">
        <v>40220</v>
      </c>
      <c r="C858" s="4" t="s">
        <v>473</v>
      </c>
      <c r="D858" s="3" t="str">
        <f>HYPERLINK("http://www.newvision.co.ug/news/607856-floods-frustrate-ngora-herdsmen.html")</f>
        <v>http://www.newvision.co.ug/news/607856-floods-frustrate-ngora-herdsmen.html</v>
      </c>
    </row>
    <row r="859" spans="1:4" ht="15">
      <c r="A859" s="3" t="s">
        <v>436</v>
      </c>
      <c r="B859" s="5">
        <v>40490</v>
      </c>
      <c r="C859" s="4" t="s">
        <v>785</v>
      </c>
      <c r="D859" s="3" t="str">
        <f>HYPERLINK("http://www.newvision.co.ug/news/613389-floods-cause-hunger-diseases-in-bukedea.html")</f>
        <v>http://www.newvision.co.ug/news/613389-floods-cause-hunger-diseases-in-bukedea.html</v>
      </c>
    </row>
    <row r="860" spans="1:4" ht="15">
      <c r="A860" s="3" t="s">
        <v>436</v>
      </c>
      <c r="B860" s="5">
        <v>40603</v>
      </c>
      <c r="C860" s="4" t="s">
        <v>128</v>
      </c>
      <c r="D860" s="3" t="str">
        <f>HYPERLINK("http://www.monitor.co.ug/News/National/-/688334/1082752/-/cje2njz/-/index.html")</f>
        <v>http://www.monitor.co.ug/News/National/-/688334/1082752/-/cje2njz/-/index.html</v>
      </c>
    </row>
    <row r="861" spans="1:4" ht="15">
      <c r="A861" s="3" t="s">
        <v>436</v>
      </c>
      <c r="B861" s="5">
        <v>40884</v>
      </c>
      <c r="C861" s="4" t="s">
        <v>571</v>
      </c>
      <c r="D861" s="3" t="str">
        <f>HYPERLINK("http://www.monitor.co.ug/News/National/-/688334/1199288/-/byk1mqz/-/index.html")</f>
        <v>http://www.monitor.co.ug/News/National/-/688334/1199288/-/byk1mqz/-/index.html</v>
      </c>
    </row>
    <row r="862" spans="1:4" ht="15">
      <c r="A862" s="3" t="s">
        <v>436</v>
      </c>
      <c r="B862" s="4" t="s">
        <v>438</v>
      </c>
      <c r="C862" s="4" t="s">
        <v>763</v>
      </c>
      <c r="D862" s="3" t="str">
        <f>HYPERLINK("http://www.monitor.co.ug/News/National/-/688334/1304844/-/b21r7uz/-/index.html")</f>
        <v>http://www.monitor.co.ug/News/National/-/688334/1304844/-/b21r7uz/-/index.html</v>
      </c>
    </row>
    <row r="863" spans="1:4" ht="15">
      <c r="A863" s="3" t="s">
        <v>436</v>
      </c>
      <c r="B863" s="4" t="s">
        <v>240</v>
      </c>
      <c r="C863" s="4" t="s">
        <v>563</v>
      </c>
      <c r="D863" s="3" t="str">
        <f>HYPERLINK("http://www.monitor.co.ug/News/National/-/688334/1143466/-/c2qui9z/-/index.html")</f>
        <v>http://www.monitor.co.ug/News/National/-/688334/1143466/-/c2qui9z/-/index.html</v>
      </c>
    </row>
    <row r="864" spans="1:4" ht="15">
      <c r="A864" s="3" t="s">
        <v>436</v>
      </c>
      <c r="B864" s="4" t="s">
        <v>437</v>
      </c>
      <c r="C864" s="4" t="s">
        <v>515</v>
      </c>
      <c r="D864" s="3" t="str">
        <f>HYPERLINK("http://www.monitor.co.ug/News/National/-/688334/688536/-/vgpm3p/-/index.html")</f>
        <v>http://www.monitor.co.ug/News/National/-/688334/688536/-/vgpm3p/-/index.html</v>
      </c>
    </row>
    <row r="865" spans="1:4" ht="15">
      <c r="A865" s="3" t="s">
        <v>436</v>
      </c>
      <c r="B865" s="4" t="s">
        <v>439</v>
      </c>
      <c r="C865" s="4" t="s">
        <v>580</v>
      </c>
      <c r="D865" s="3" t="str">
        <f>HYPERLINK("http://www.newvision.co.ug/news/657582-upe-17-years-later-mangoes-for-lunch-and-mango-tree-for-classroom.html")</f>
        <v>http://www.newvision.co.ug/news/657582-upe-17-years-later-mangoes-for-lunch-and-mango-tree-for-classroom.html</v>
      </c>
    </row>
    <row r="866" spans="1:4" ht="15">
      <c r="A866" s="3" t="s">
        <v>436</v>
      </c>
      <c r="B866" s="4" t="s">
        <v>310</v>
      </c>
      <c r="C866" s="4" t="s">
        <v>563</v>
      </c>
      <c r="D866" s="3" t="str">
        <f>HYPERLINK("http://www.monitor.co.ug/News/National/How-the-NRM-party-won-Usuk-by-election/-/688334/1507444/-/lp11lk/-/index.html")</f>
        <v>http://www.monitor.co.ug/News/National/How-the-NRM-party-won-Usuk-by-election/-/688334/1507444/-/lp11lk/-/index.html</v>
      </c>
    </row>
    <row r="867" spans="1:4" ht="15">
      <c r="A867" s="3" t="s">
        <v>436</v>
      </c>
      <c r="B867" s="4" t="s">
        <v>19</v>
      </c>
      <c r="C867" s="4" t="s">
        <v>128</v>
      </c>
      <c r="D867" s="3" t="str">
        <f>HYPERLINK("http://www.monitor.co.ug/OpEd/Letters/-/806314/737970/-/3gcn7cz/-/index.html")</f>
        <v>http://www.monitor.co.ug/OpEd/Letters/-/806314/737970/-/3gcn7cz/-/index.html</v>
      </c>
    </row>
    <row r="868" spans="1:4" ht="15">
      <c r="A868" s="3" t="s">
        <v>436</v>
      </c>
      <c r="B868" s="4" t="s">
        <v>196</v>
      </c>
      <c r="C868" s="4" t="s">
        <v>800</v>
      </c>
      <c r="D868" s="3" t="str">
        <f>HYPERLINK("http://www.monitor.co.ug/OpEd/Commentary/-/689364/883888/-/ah1qidz/-/index.html")</f>
        <v>http://www.monitor.co.ug/OpEd/Commentary/-/689364/883888/-/ah1qidz/-/index.html</v>
      </c>
    </row>
    <row r="869" spans="1:4" ht="15">
      <c r="A869" s="3" t="s">
        <v>436</v>
      </c>
      <c r="B869" s="4" t="s">
        <v>380</v>
      </c>
      <c r="C869" s="4" t="s">
        <v>128</v>
      </c>
      <c r="D869" s="3" t="str">
        <f>HYPERLINK("http://www.monitor.co.ug/Magazines/Farming/They-are-making-a-change-with-bees-and-honey-/-/689860/2463774/-/rii35w/-/index.html")</f>
        <v>http://www.monitor.co.ug/Magazines/Farming/They-are-making-a-change-with-bees-and-honey-/-/689860/2463774/-/rii35w/-/index.html</v>
      </c>
    </row>
    <row r="870" spans="1:4" ht="15">
      <c r="A870" s="3" t="s">
        <v>440</v>
      </c>
      <c r="B870" s="5">
        <v>40239</v>
      </c>
      <c r="C870" s="4" t="s">
        <v>407</v>
      </c>
      <c r="D870" s="3" t="str">
        <f>HYPERLINK("http://www.monitor.co.ug/News/National/-/688334/854406/-/whxnqg/-/index.html")</f>
        <v>http://www.monitor.co.ug/News/National/-/688334/854406/-/whxnqg/-/index.html</v>
      </c>
    </row>
    <row r="871" spans="1:4" ht="15">
      <c r="A871" s="3" t="s">
        <v>440</v>
      </c>
      <c r="B871" s="5">
        <v>40453</v>
      </c>
      <c r="C871" s="4" t="s">
        <v>407</v>
      </c>
      <c r="D871" s="3" t="str">
        <f>HYPERLINK("http://www.monitor.co.ug/News/National/-/688334/858852/-/wi1jaa/-/index.html")</f>
        <v>http://www.monitor.co.ug/News/National/-/688334/858852/-/wi1jaa/-/index.html</v>
      </c>
    </row>
    <row r="872" spans="1:4" ht="15">
      <c r="A872" s="3" t="s">
        <v>440</v>
      </c>
      <c r="B872" s="5">
        <v>41093</v>
      </c>
      <c r="C872" s="4" t="s">
        <v>407</v>
      </c>
      <c r="D872" s="3" t="str">
        <f>HYPERLINK("http://www.newvision.co.ug/news/629448-congolese-immigrants-flood-uganda.html")</f>
        <v>http://www.newvision.co.ug/news/629448-congolese-immigrants-flood-uganda.html</v>
      </c>
    </row>
    <row r="873" spans="1:4" ht="15">
      <c r="A873" s="3" t="s">
        <v>440</v>
      </c>
      <c r="B873" s="4" t="s">
        <v>443</v>
      </c>
      <c r="C873" s="4" t="s">
        <v>407</v>
      </c>
      <c r="D873" s="3" t="str">
        <f>HYPERLINK("http://www.monitor.co.ug/News/National/-/688334/1333948/-/b07t2iz/-/index.html")</f>
        <v>http://www.monitor.co.ug/News/National/-/688334/1333948/-/b07t2iz/-/index.html</v>
      </c>
    </row>
    <row r="874" spans="1:4" ht="15">
      <c r="A874" s="3" t="s">
        <v>440</v>
      </c>
      <c r="B874" s="4" t="s">
        <v>441</v>
      </c>
      <c r="C874" s="4" t="s">
        <v>407</v>
      </c>
      <c r="D874" s="3" t="str">
        <f>HYPERLINK("http://www.newvision.co.ug/news/325416-accounts-committee-investigates-sh97b-loss.html")</f>
        <v>http://www.newvision.co.ug/news/325416-accounts-committee-investigates-sh97b-loss.html</v>
      </c>
    </row>
    <row r="875" spans="1:4" ht="15">
      <c r="A875" s="3" t="s">
        <v>444</v>
      </c>
      <c r="B875" s="5">
        <v>41491</v>
      </c>
      <c r="C875" s="4" t="s">
        <v>128</v>
      </c>
      <c r="D875" s="3" t="str">
        <f>HYPERLINK("http://www.monitor.co.ug/News/National/Rains-to-pound-until-June--experts-warn/-/688334/1845454/-/x2erqsz/-/index.html")</f>
        <v>http://www.monitor.co.ug/News/National/Rains-to-pound-until-June--experts-warn/-/688334/1845454/-/x2erqsz/-/index.html</v>
      </c>
    </row>
    <row r="876" spans="1:4" ht="15">
      <c r="A876" s="3" t="s">
        <v>445</v>
      </c>
      <c r="B876" s="5">
        <v>37630</v>
      </c>
      <c r="C876" s="4" t="s">
        <v>554</v>
      </c>
      <c r="D876" s="3" t="str">
        <f>HYPERLINK("http://www.newvision.co.ug/news/587845-floods-wash-kapchorwa-Ã¢-cleanÃ¢.html")</f>
        <v>http://www.newvision.co.ug/news/587845-floods-wash-kapchorwa-Ã¢-cleanÃ¢.html</v>
      </c>
    </row>
    <row r="877" spans="1:4" ht="15">
      <c r="A877" s="3" t="s">
        <v>445</v>
      </c>
      <c r="B877" s="5">
        <v>37803</v>
      </c>
      <c r="C877" s="4" t="s">
        <v>502</v>
      </c>
      <c r="D877" s="3" t="str">
        <f>HYPERLINK("http://www.newvision.co.ug/news/603917-nile-blocked-at-pakwach.html")</f>
        <v>http://www.newvision.co.ug/news/603917-nile-blocked-at-pakwach.html</v>
      </c>
    </row>
    <row r="878" spans="1:4" ht="15">
      <c r="A878" s="3" t="s">
        <v>445</v>
      </c>
      <c r="B878" s="5">
        <v>39601</v>
      </c>
      <c r="C878" s="4" t="s">
        <v>637</v>
      </c>
      <c r="D878" s="3" t="str">
        <f>HYPERLINK("http://www.monitor.co.ug/News/Education/-/688336/727928/-/10efu9g/-/index.html")</f>
        <v>http://www.monitor.co.ug/News/Education/-/688336/727928/-/10efu9g/-/index.html</v>
      </c>
    </row>
    <row r="879" spans="1:4" ht="15">
      <c r="A879" s="3" t="s">
        <v>445</v>
      </c>
      <c r="B879" s="5">
        <v>40362</v>
      </c>
      <c r="C879" s="4" t="s">
        <v>603</v>
      </c>
      <c r="D879" s="3" t="str">
        <f>HYPERLINK("http://www.monitor.co.ug/OpEd/Letters/-/806314/874544/-/2tux28z/-/index.html")</f>
        <v>http://www.monitor.co.ug/OpEd/Letters/-/806314/874544/-/2tux28z/-/index.html</v>
      </c>
    </row>
    <row r="880" spans="1:4" ht="15">
      <c r="A880" s="3" t="s">
        <v>445</v>
      </c>
      <c r="B880" s="5">
        <v>40489</v>
      </c>
      <c r="C880" s="4" t="s">
        <v>473</v>
      </c>
      <c r="D880" s="3" t="str">
        <f>HYPERLINK("http://www.monitor.co.ug/Magazines/PeoplePower/-/689844/955240/-/5ruj1e/-/index.html")</f>
        <v>http://www.monitor.co.ug/Magazines/PeoplePower/-/689844/955240/-/5ruj1e/-/index.html</v>
      </c>
    </row>
    <row r="881" spans="1:4" ht="15">
      <c r="A881" s="3" t="s">
        <v>445</v>
      </c>
      <c r="B881" s="5">
        <v>40613</v>
      </c>
      <c r="C881" s="4" t="s">
        <v>735</v>
      </c>
      <c r="D881" s="3" t="str">
        <f>HYPERLINK("http://www.monitor.co.ug/News/National/-/688334/1266078/-/bhe259z/-/index.html")</f>
        <v>http://www.monitor.co.ug/News/National/-/688334/1266078/-/bhe259z/-/index.html</v>
      </c>
    </row>
    <row r="882" spans="1:4" ht="15">
      <c r="A882" s="3" t="s">
        <v>445</v>
      </c>
      <c r="B882" s="5">
        <v>40760</v>
      </c>
      <c r="C882" s="4" t="s">
        <v>446</v>
      </c>
      <c r="D882" s="3" t="str">
        <f>HYPERLINK("http://www.newvision.co.ug/news/323182-floods-cut-off-moroto-nakapiripirit.html")</f>
        <v>http://www.newvision.co.ug/news/323182-floods-cut-off-moroto-nakapiripirit.html</v>
      </c>
    </row>
    <row r="883" spans="1:4" ht="15">
      <c r="A883" s="3" t="s">
        <v>445</v>
      </c>
      <c r="B883" s="5">
        <v>41397</v>
      </c>
      <c r="C883" s="4" t="s">
        <v>603</v>
      </c>
      <c r="D883" s="3" t="str">
        <f>HYPERLINK("http://www.monitor.co.ug/News/National/MPs-discover-more--ghosts---substandard-work-at-OPM/-/688334/1711610/-/wfcmccz/-/index.html")</f>
        <v>http://www.monitor.co.ug/News/National/MPs-discover-more--ghosts---substandard-work-at-OPM/-/688334/1711610/-/wfcmccz/-/index.html</v>
      </c>
    </row>
    <row r="884" spans="1:4" ht="15">
      <c r="A884" s="3" t="s">
        <v>445</v>
      </c>
      <c r="B884" s="5">
        <v>41552</v>
      </c>
      <c r="C884" s="4" t="s">
        <v>445</v>
      </c>
      <c r="D884" s="3" t="str">
        <f>HYPERLINK("http://www.monitor.co.ug/News/National/Lira-residents-fail-to-access-health-centre/-/688334/1847602/-/1c93h6/-/index.html")</f>
        <v>http://www.monitor.co.ug/News/National/Lira-residents-fail-to-access-health-centre/-/688334/1847602/-/1c93h6/-/index.html</v>
      </c>
    </row>
    <row r="885" spans="1:4" ht="15">
      <c r="A885" s="3" t="s">
        <v>445</v>
      </c>
      <c r="B885" s="5">
        <v>41554</v>
      </c>
      <c r="C885" s="4" t="s">
        <v>558</v>
      </c>
      <c r="D885" s="3" t="str">
        <f>HYPERLINK("http://www.newvision.co.ug/news/644898-bridge-under-water-for-six-months.html")</f>
        <v>http://www.newvision.co.ug/news/644898-bridge-under-water-for-six-months.html</v>
      </c>
    </row>
    <row r="886" spans="1:4" ht="15">
      <c r="A886" s="3" t="s">
        <v>445</v>
      </c>
      <c r="B886" s="4" t="s">
        <v>447</v>
      </c>
      <c r="C886" s="4" t="s">
        <v>818</v>
      </c>
      <c r="D886" s="3" t="str">
        <f>HYPERLINK("http://www.monitor.co.ug/artsculture/Entertainment/-/812796/810896/-/bsnden/-/index.html")</f>
        <v>http://www.monitor.co.ug/artsculture/Entertainment/-/812796/810896/-/bsnden/-/index.html</v>
      </c>
    </row>
    <row r="887" spans="1:4" ht="15">
      <c r="A887" s="3" t="s">
        <v>445</v>
      </c>
      <c r="B887" s="4" t="s">
        <v>39</v>
      </c>
      <c r="C887" s="4" t="s">
        <v>446</v>
      </c>
      <c r="D887" s="3" t="str">
        <f>HYPERLINK("http://www.newvision.co.ug/news/642712-over-4-000-displaced-by-floods-in-karamoja.html")</f>
        <v>http://www.newvision.co.ug/news/642712-over-4-000-displaced-by-floods-in-karamoja.html</v>
      </c>
    </row>
    <row r="888" spans="1:4" ht="15">
      <c r="A888" s="3" t="s">
        <v>445</v>
      </c>
      <c r="B888" s="4" t="s">
        <v>455</v>
      </c>
      <c r="C888" s="4" t="s">
        <v>755</v>
      </c>
      <c r="D888" s="3" t="str">
        <f>HYPERLINK("http://www.newvision.co.ug/news/658714-flooded-bridge-disrupts-lira-apac-transport.html")</f>
        <v>http://www.newvision.co.ug/news/658714-flooded-bridge-disrupts-lira-apac-transport.html</v>
      </c>
    </row>
    <row r="889" spans="1:4" ht="15">
      <c r="A889" s="3" t="s">
        <v>445</v>
      </c>
      <c r="B889" s="4" t="s">
        <v>452</v>
      </c>
      <c r="C889" s="4" t="s">
        <v>446</v>
      </c>
      <c r="D889" s="3" t="str">
        <f>HYPERLINK("http://www.monitor.co.ug/Magazines/Farming/-/689860/1219806/-/1m6qlez/-/index.html")</f>
        <v>http://www.monitor.co.ug/Magazines/Farming/-/689860/1219806/-/1m6qlez/-/index.html</v>
      </c>
    </row>
    <row r="890" spans="1:4" ht="15">
      <c r="A890" s="3" t="s">
        <v>445</v>
      </c>
      <c r="B890" s="4" t="s">
        <v>434</v>
      </c>
      <c r="C890" s="4" t="s">
        <v>563</v>
      </c>
      <c r="D890" s="3" t="str">
        <f>HYPERLINK("http://www.monitor.co.ug/SpecialReports/46-dead-as-hunger-pounds-Karamoja--Teso/-/688342/1917310/-/mah9o2z/-/index.html")</f>
        <v>http://www.monitor.co.ug/SpecialReports/46-dead-as-hunger-pounds-Karamoja--Teso/-/688342/1917310/-/mah9o2z/-/index.html</v>
      </c>
    </row>
    <row r="891" spans="1:4" ht="15">
      <c r="A891" s="3" t="s">
        <v>445</v>
      </c>
      <c r="B891" s="4" t="s">
        <v>264</v>
      </c>
      <c r="C891" s="4" t="s">
        <v>446</v>
      </c>
      <c r="D891" s="3" t="str">
        <f>HYPERLINK("http://www.monitor.co.ug/News/National/-/688334/1237558/-/bj7umiz/-/index.html")</f>
        <v>http://www.monitor.co.ug/News/National/-/688334/1237558/-/bj7umiz/-/index.html</v>
      </c>
    </row>
    <row r="892" spans="1:4" ht="15">
      <c r="A892" s="3" t="s">
        <v>445</v>
      </c>
      <c r="B892" s="4" t="s">
        <v>81</v>
      </c>
      <c r="C892" s="4" t="s">
        <v>445</v>
      </c>
      <c r="D892" s="3" t="str">
        <f>HYPERLINK("http://www.newvision.co.ug/news/608816-lira-schools-closed-over-floods.html")</f>
        <v>http://www.newvision.co.ug/news/608816-lira-schools-closed-over-floods.html</v>
      </c>
    </row>
    <row r="893" spans="1:4" ht="15">
      <c r="A893" s="3" t="s">
        <v>445</v>
      </c>
      <c r="B893" s="4" t="s">
        <v>15</v>
      </c>
      <c r="C893" s="4" t="s">
        <v>753</v>
      </c>
      <c r="D893" s="3" t="str">
        <f>HYPERLINK("http://www.monitor.co.ug/News/National/Heavy-rains-destroy-Apac-roads/-/688334/2490066/-/b2muqf/-/index.html")</f>
        <v>http://www.monitor.co.ug/News/National/Heavy-rains-destroy-Apac-roads/-/688334/2490066/-/b2muqf/-/index.html</v>
      </c>
    </row>
    <row r="894" spans="1:4" ht="15">
      <c r="A894" s="3" t="s">
        <v>445</v>
      </c>
      <c r="B894" s="4" t="s">
        <v>369</v>
      </c>
      <c r="C894" s="4" t="s">
        <v>473</v>
      </c>
      <c r="D894" s="3" t="str">
        <f>HYPERLINK("http://www.monitor.co.ug/News/National/Excitement-in-Karamoja-as-rains-start/-/688334/2318480/-/u6w411/-/index.html")</f>
        <v>http://www.monitor.co.ug/News/National/Excitement-in-Karamoja-as-rains-start/-/688334/2318480/-/u6w411/-/index.html</v>
      </c>
    </row>
    <row r="895" spans="1:4" ht="15">
      <c r="A895" s="3" t="s">
        <v>445</v>
      </c>
      <c r="B895" s="4" t="s">
        <v>102</v>
      </c>
      <c r="C895" s="4" t="s">
        <v>473</v>
      </c>
      <c r="D895" s="3" t="str">
        <f>HYPERLINK("http://www.monitor.co.ug/News/National/-/688334/1238644/-/bj75jvz/-/index.html")</f>
        <v>http://www.monitor.co.ug/News/National/-/688334/1238644/-/bj75jvz/-/index.html</v>
      </c>
    </row>
    <row r="896" spans="1:4" ht="15">
      <c r="A896" s="3" t="s">
        <v>445</v>
      </c>
      <c r="B896" s="4" t="s">
        <v>449</v>
      </c>
      <c r="C896" s="4" t="s">
        <v>446</v>
      </c>
      <c r="D896" s="3" t="str">
        <f>HYPERLINK("http://www.monitor.co.ug/OpEd/Commentary/-/689364/981076/-/9x0kpkz/-/index.html")</f>
        <v>http://www.monitor.co.ug/OpEd/Commentary/-/689364/981076/-/9x0kpkz/-/index.html</v>
      </c>
    </row>
    <row r="897" spans="1:4" ht="15">
      <c r="A897" s="3" t="s">
        <v>445</v>
      </c>
      <c r="B897" s="4" t="s">
        <v>60</v>
      </c>
      <c r="C897" s="4" t="s">
        <v>445</v>
      </c>
      <c r="D897" s="3" t="str">
        <f>HYPERLINK("http://www.monitor.co.ug/News/National/-/688334/1332400/-/b08meqz/-/index.html")</f>
        <v>http://www.monitor.co.ug/News/National/-/688334/1332400/-/b08meqz/-/index.html</v>
      </c>
    </row>
    <row r="898" spans="1:4" ht="15">
      <c r="A898" s="3" t="s">
        <v>445</v>
      </c>
      <c r="B898" s="4" t="s">
        <v>450</v>
      </c>
      <c r="C898" s="4" t="s">
        <v>446</v>
      </c>
      <c r="D898" s="3" t="str">
        <f>HYPERLINK("http://www.monitor.co.ug/News/National/-/688334/1078990/-/cjvdyfz/-/index.html")</f>
        <v>http://www.monitor.co.ug/News/National/-/688334/1078990/-/cjvdyfz/-/index.html</v>
      </c>
    </row>
    <row r="899" spans="1:4" ht="15">
      <c r="A899" s="3" t="s">
        <v>445</v>
      </c>
      <c r="B899" s="4" t="s">
        <v>454</v>
      </c>
      <c r="C899" s="4" t="s">
        <v>735</v>
      </c>
      <c r="D899" s="3" t="str">
        <f>HYPERLINK("http://www.newvision.co.ug/news/646568-heavy-rains-ravage-lango.html")</f>
        <v>http://www.newvision.co.ug/news/646568-heavy-rains-ravage-lango.html</v>
      </c>
    </row>
    <row r="900" spans="1:4" ht="15">
      <c r="A900" s="3" t="s">
        <v>445</v>
      </c>
      <c r="B900" s="4" t="s">
        <v>59</v>
      </c>
      <c r="C900" s="4" t="s">
        <v>795</v>
      </c>
      <c r="D900" s="3" t="str">
        <f>HYPERLINK("http://www.monitor.co.ug/News/National/-/688334/1243586/-/bio3xaz/-/index.html")</f>
        <v>http://www.monitor.co.ug/News/National/-/688334/1243586/-/bio3xaz/-/index.html</v>
      </c>
    </row>
    <row r="901" spans="1:4" ht="15">
      <c r="A901" s="3" t="s">
        <v>445</v>
      </c>
      <c r="B901" s="4" t="s">
        <v>451</v>
      </c>
      <c r="C901" s="4" t="s">
        <v>649</v>
      </c>
      <c r="D901" s="3" t="str">
        <f>HYPERLINK("http://www.monitor.co.ug/OpEd/Commentary/-/689364/1097076/-/13quq7dz/-/index.html")</f>
        <v>http://www.monitor.co.ug/OpEd/Commentary/-/689364/1097076/-/13quq7dz/-/index.html</v>
      </c>
    </row>
    <row r="902" spans="1:4" ht="15">
      <c r="A902" s="3" t="s">
        <v>445</v>
      </c>
      <c r="B902" s="4" t="s">
        <v>268</v>
      </c>
      <c r="C902" s="4" t="s">
        <v>446</v>
      </c>
      <c r="D902" s="3" t="str">
        <f>HYPERLINK("http://www.newvision.co.ug/news/541-moroto-bridge-to-re-open.html")</f>
        <v>http://www.newvision.co.ug/news/541-moroto-bridge-to-re-open.html</v>
      </c>
    </row>
    <row r="903" spans="1:4" ht="15">
      <c r="A903" s="3" t="s">
        <v>445</v>
      </c>
      <c r="B903" s="4" t="s">
        <v>268</v>
      </c>
      <c r="C903" s="4" t="s">
        <v>446</v>
      </c>
      <c r="D903" s="3" t="str">
        <f>HYPERLINK("http://www.newvision.co.ug/news/315306-moroto-bridge-to-re-open.html")</f>
        <v>http://www.newvision.co.ug/news/315306-moroto-bridge-to-re-open.html</v>
      </c>
    </row>
    <row r="904" spans="1:4" ht="15">
      <c r="A904" s="3" t="s">
        <v>445</v>
      </c>
      <c r="B904" s="4" t="s">
        <v>13</v>
      </c>
      <c r="C904" s="4" t="s">
        <v>754</v>
      </c>
      <c r="D904" s="3" t="str">
        <f>HYPERLINK("http://www.monitor.co.ug/News/National/Floods-cut-off-Apac-roads/-/688334/1519598/-/xob1smz/-/index.html")</f>
        <v>http://www.monitor.co.ug/News/National/Floods-cut-off-Apac-roads/-/688334/1519598/-/xob1smz/-/index.html</v>
      </c>
    </row>
    <row r="905" spans="1:4" ht="15">
      <c r="A905" s="3" t="s">
        <v>445</v>
      </c>
      <c r="B905" s="4" t="s">
        <v>381</v>
      </c>
      <c r="C905" s="4" t="s">
        <v>729</v>
      </c>
      <c r="D905" s="3" t="str">
        <f>HYPERLINK("http://www.monitor.co.ug/News/National/Kyankwazi-seeks-help-to-fix-broken-bridges/-/688334/2467950/-/hu5e80z/-/index.html")</f>
        <v>http://www.monitor.co.ug/News/National/Kyankwazi-seeks-help-to-fix-broken-bridges/-/688334/2467950/-/hu5e80z/-/index.html</v>
      </c>
    </row>
    <row r="906" spans="1:4" ht="15">
      <c r="A906" s="3" t="s">
        <v>456</v>
      </c>
      <c r="B906" s="5">
        <v>40187</v>
      </c>
      <c r="C906" s="4" t="s">
        <v>788</v>
      </c>
      <c r="D906" s="3" t="str">
        <f>HYPERLINK("http://www.newvision.co.ug/news/612051-makubuya-in-landslide.html")</f>
        <v>http://www.newvision.co.ug/news/612051-makubuya-in-landslide.html</v>
      </c>
    </row>
    <row r="907" spans="1:4" ht="15">
      <c r="A907" s="3" t="s">
        <v>456</v>
      </c>
      <c r="B907" s="5">
        <v>41398</v>
      </c>
      <c r="C907" s="4" t="s">
        <v>601</v>
      </c>
      <c r="D907" s="3" t="str">
        <f>HYPERLINK("http://www.monitor.co.ug/News/National/Bad-roads-force-traders-to-pour-milk/-/688334/1739672/-/316864z/-/index.html")</f>
        <v>http://www.monitor.co.ug/News/National/Bad-roads-force-traders-to-pour-milk/-/688334/1739672/-/316864z/-/index.html</v>
      </c>
    </row>
    <row r="908" spans="1:4" ht="15">
      <c r="A908" s="3" t="s">
        <v>456</v>
      </c>
      <c r="B908" s="5">
        <v>41430</v>
      </c>
      <c r="C908" s="4" t="s">
        <v>586</v>
      </c>
      <c r="D908" s="3" t="str">
        <f>HYPERLINK("http://www.monitor.co.ug/OpEd/Editorial/Environmental-awareness-is-key/-/689360/1842862/-/92gefd/-/index.html")</f>
        <v>http://www.monitor.co.ug/OpEd/Editorial/Environmental-awareness-is-key/-/689360/1842862/-/92gefd/-/index.html</v>
      </c>
    </row>
    <row r="909" spans="1:4" ht="15">
      <c r="A909" s="3" t="s">
        <v>456</v>
      </c>
      <c r="B909" s="5">
        <v>41459</v>
      </c>
      <c r="C909" s="4" t="s">
        <v>771</v>
      </c>
      <c r="D909" s="3" t="str">
        <f>HYPERLINK("http://www.newvision.co.ug/news/641415-floods-cut-off-nakaseke.html")</f>
        <v>http://www.newvision.co.ug/news/641415-floods-cut-off-nakaseke.html</v>
      </c>
    </row>
    <row r="910" spans="1:4" ht="15">
      <c r="A910" s="3" t="s">
        <v>456</v>
      </c>
      <c r="B910" s="5">
        <v>41982</v>
      </c>
      <c r="C910" s="4" t="s">
        <v>583</v>
      </c>
      <c r="D910" s="3" t="str">
        <f>HYPERLINK("http://www.monitor.co.ug/News/National/Heavy-rains-displace-hundreds/-/688334/2449602/-/124jigv/-/index.html")</f>
        <v>http://www.monitor.co.ug/News/National/Heavy-rains-displace-hundreds/-/688334/2449602/-/124jigv/-/index.html</v>
      </c>
    </row>
    <row r="911" spans="1:4" ht="15">
      <c r="A911" s="3" t="s">
        <v>456</v>
      </c>
      <c r="B911" s="4" t="s">
        <v>64</v>
      </c>
      <c r="C911" s="4" t="s">
        <v>583</v>
      </c>
      <c r="D911" s="3" t="str">
        <f>HYPERLINK("http://www.monitor.co.ug/News/National/Storm-leaves-Luweero-villages-in-ruins/-/688334/2453734/-/6x1ctaz/-/index.html")</f>
        <v>http://www.monitor.co.ug/News/National/Storm-leaves-Luweero-villages-in-ruins/-/688334/2453734/-/6x1ctaz/-/index.html</v>
      </c>
    </row>
    <row r="912" spans="1:4" ht="15">
      <c r="A912" s="3" t="s">
        <v>456</v>
      </c>
      <c r="B912" s="4" t="s">
        <v>457</v>
      </c>
      <c r="C912" s="4" t="s">
        <v>128</v>
      </c>
      <c r="D912" s="3" t="str">
        <f>HYPERLINK("http://www.newvision.co.ug/news/501585-who-is-failing-district-roads.html")</f>
        <v>http://www.newvision.co.ug/news/501585-who-is-failing-district-roads.html</v>
      </c>
    </row>
    <row r="913" spans="1:4" ht="15">
      <c r="A913" s="3" t="s">
        <v>456</v>
      </c>
      <c r="B913" s="4" t="s">
        <v>459</v>
      </c>
      <c r="C913" s="4" t="s">
        <v>774</v>
      </c>
      <c r="D913" s="3" t="str">
        <f>HYPERLINK("http://www.monitor.co.ug/News/National/Nakaseke-officials-verify-60-suspected-illegal-immigrants/-/688334/1483146/-/i5u9cj/-/index.html")</f>
        <v>http://www.monitor.co.ug/News/National/Nakaseke-officials-verify-60-suspected-illegal-immigrants/-/688334/1483146/-/i5u9cj/-/index.html</v>
      </c>
    </row>
    <row r="914" spans="1:4" ht="15">
      <c r="A914" s="3" t="s">
        <v>456</v>
      </c>
      <c r="B914" s="4" t="s">
        <v>458</v>
      </c>
      <c r="C914" s="4" t="s">
        <v>671</v>
      </c>
      <c r="D914" s="3" t="str">
        <f>HYPERLINK("http://www.monitor.co.ug/News/National/-/688334/1113952/-/c4ldawz/-/index.html")</f>
        <v>http://www.monitor.co.ug/News/National/-/688334/1113952/-/c4ldawz/-/index.html</v>
      </c>
    </row>
    <row r="915" spans="1:4" ht="15">
      <c r="A915" s="3" t="s">
        <v>456</v>
      </c>
      <c r="B915" s="4" t="s">
        <v>458</v>
      </c>
      <c r="C915" s="4" t="s">
        <v>671</v>
      </c>
      <c r="D915" s="3" t="str">
        <f>HYPERLINK("http://www.monitor.co.ug/News/National/-/688334/1113952/-/c4ldawz/-/index.html")</f>
        <v>http://www.monitor.co.ug/News/National/-/688334/1113952/-/c4ldawz/-/index.html</v>
      </c>
    </row>
    <row r="916" spans="1:4" ht="15">
      <c r="A916" s="3" t="s">
        <v>456</v>
      </c>
      <c r="B916" s="4" t="s">
        <v>372</v>
      </c>
      <c r="C916" s="4" t="s">
        <v>493</v>
      </c>
      <c r="D916" s="3" t="str">
        <f>HYPERLINK("http://www.monitor.co.ug/Magazines/Farming/Bamboo-is-the-answer-to-poverty-in-Luweero-Triangle/-/689860/2328178/-/xp884m/-/index.html")</f>
        <v>http://www.monitor.co.ug/Magazines/Farming/Bamboo-is-the-answer-to-poverty-in-Luweero-Triangle/-/689860/2328178/-/xp884m/-/index.html</v>
      </c>
    </row>
    <row r="917" spans="1:4" ht="15">
      <c r="A917" s="3" t="s">
        <v>460</v>
      </c>
      <c r="B917" s="5">
        <v>40098</v>
      </c>
      <c r="C917" s="4" t="s">
        <v>550</v>
      </c>
      <c r="D917" s="3" t="str">
        <f>HYPERLINK("http://www.monitor.co.ug/OpEd/OpEdColumnists/KaroliSsemogerere/-/878682/820600/-/bkjvok/-/index.html")</f>
        <v>http://www.monitor.co.ug/OpEd/OpEdColumnists/KaroliSsemogerere/-/878682/820600/-/bkjvok/-/index.html</v>
      </c>
    </row>
    <row r="918" spans="1:4" ht="15">
      <c r="A918" s="3" t="s">
        <v>460</v>
      </c>
      <c r="B918" s="4" t="s">
        <v>469</v>
      </c>
      <c r="C918" s="4" t="s">
        <v>824</v>
      </c>
      <c r="D918" s="3" t="str">
        <f>HYPERLINK("http://www.monitor.co.ug/News/National/Kalungu-vendors-reject-Shs2-billion-market/-/688334/2749432/-/odw2rtz/-/index.html")</f>
        <v>http://www.monitor.co.ug/News/National/Kalungu-vendors-reject-Shs2-billion-market/-/688334/2749432/-/odw2rtz/-/index.html</v>
      </c>
    </row>
    <row r="919" spans="1:4" ht="15">
      <c r="A919" s="3" t="s">
        <v>460</v>
      </c>
      <c r="B919" s="4" t="s">
        <v>464</v>
      </c>
      <c r="C919" s="4" t="s">
        <v>52</v>
      </c>
      <c r="D919" s="3" t="str">
        <f>HYPERLINK("http://www.monitor.co.ug/Sports/Soccer/-/690266/1010014/-/llmtay/-/index.html")</f>
        <v>http://www.monitor.co.ug/Sports/Soccer/-/690266/1010014/-/llmtay/-/index.html</v>
      </c>
    </row>
    <row r="920" spans="1:4" ht="15">
      <c r="A920" s="3" t="s">
        <v>460</v>
      </c>
      <c r="B920" s="4" t="s">
        <v>339</v>
      </c>
      <c r="C920" s="4" t="s">
        <v>558</v>
      </c>
      <c r="D920" s="3" t="str">
        <f>HYPERLINK("http://www.monitor.co.ug/Magazines/Farming/More-rains-expected--A-breakdown-for-each-region/-/689860/1852312/-/550kb3/-/index.html")</f>
        <v>http://www.monitor.co.ug/Magazines/Farming/More-rains-expected--A-breakdown-for-each-region/-/689860/1852312/-/550kb3/-/index.html</v>
      </c>
    </row>
    <row r="921" spans="1:4" ht="15">
      <c r="A921" s="3" t="s">
        <v>460</v>
      </c>
      <c r="B921" s="4" t="s">
        <v>462</v>
      </c>
      <c r="C921" s="4" t="s">
        <v>567</v>
      </c>
      <c r="D921" s="3" t="str">
        <f>HYPERLINK("http://www.monitor.co.ug/SpecialReports/-/688342/862624/-/ffo1l9/-/index.html")</f>
        <v>http://www.monitor.co.ug/SpecialReports/-/688342/862624/-/ffo1l9/-/index.html</v>
      </c>
    </row>
    <row r="922" spans="1:4" ht="15">
      <c r="A922" s="3" t="s">
        <v>460</v>
      </c>
      <c r="B922" s="4" t="s">
        <v>453</v>
      </c>
      <c r="C922" s="4" t="s">
        <v>460</v>
      </c>
      <c r="D922" s="3" t="str">
        <f>HYPERLINK("http://www.newvision.co.ug/news/631150-floods-cut-off-import-entry-at-malaba.html")</f>
        <v>http://www.newvision.co.ug/news/631150-floods-cut-off-import-entry-at-malaba.html</v>
      </c>
    </row>
    <row r="923" spans="1:4" ht="15">
      <c r="A923" s="3" t="s">
        <v>460</v>
      </c>
      <c r="B923" s="4" t="s">
        <v>461</v>
      </c>
      <c r="C923" s="4" t="s">
        <v>460</v>
      </c>
      <c r="D923" s="3" t="str">
        <f>HYPERLINK("http://www.newvision.co.ug/news/491281-floods-destroy-merchandise-in-kamukuzi.html")</f>
        <v>http://www.newvision.co.ug/news/491281-floods-destroy-merchandise-in-kamukuzi.html</v>
      </c>
    </row>
    <row r="924" spans="1:4" ht="15">
      <c r="A924" s="3" t="s">
        <v>460</v>
      </c>
      <c r="B924" s="4" t="s">
        <v>467</v>
      </c>
      <c r="C924" s="4" t="s">
        <v>460</v>
      </c>
      <c r="D924" s="3" t="str">
        <f>HYPERLINK("http://www.monitor.co.ug/Magazines/PeoplePower/The-search-for-identity-/-/689844/2285514/-/2istdtz/-/index.html")</f>
        <v>http://www.monitor.co.ug/Magazines/PeoplePower/The-search-for-identity-/-/689844/2285514/-/2istdtz/-/index.html</v>
      </c>
    </row>
    <row r="925" spans="1:4" ht="15">
      <c r="A925" s="3" t="s">
        <v>460</v>
      </c>
      <c r="B925" s="4" t="s">
        <v>465</v>
      </c>
      <c r="C925" s="4" t="s">
        <v>460</v>
      </c>
      <c r="D925" s="3" t="str">
        <f>HYPERLINK("http://www.monitor.co.ug/Magazines/Farming/-/689860/1203974/-/1mwfg5z/-/index.html")</f>
        <v>http://www.monitor.co.ug/Magazines/Farming/-/689860/1203974/-/1mwfg5z/-/index.html</v>
      </c>
    </row>
    <row r="926" spans="1:4" ht="15">
      <c r="A926" s="3" t="s">
        <v>460</v>
      </c>
      <c r="B926" s="4" t="s">
        <v>147</v>
      </c>
      <c r="C926" s="4" t="s">
        <v>631</v>
      </c>
      <c r="D926" s="3" t="str">
        <f>HYPERLINK("http://www.monitor.co.ug/artsculture/-/691192/762628/-/fa3nfbz/-/index.html")</f>
        <v>http://www.monitor.co.ug/artsculture/-/691192/762628/-/fa3nfbz/-/index.html</v>
      </c>
    </row>
    <row r="927" spans="1:4" ht="15">
      <c r="A927" s="3" t="s">
        <v>460</v>
      </c>
      <c r="B927" s="4" t="s">
        <v>468</v>
      </c>
      <c r="C927" s="4" t="s">
        <v>558</v>
      </c>
      <c r="D927" s="3" t="str">
        <f>HYPERLINK("http://www.monitor.co.ug/Magazines/Farming/Heavier-rains-expected-in-the-Sept-Dec-season/-/689860/2457566/-/ykfvaiz/-/index.html")</f>
        <v>http://www.monitor.co.ug/Magazines/Farming/Heavier-rains-expected-in-the-Sept-Dec-season/-/689860/2457566/-/ykfvaiz/-/index.html</v>
      </c>
    </row>
    <row r="928" spans="1:4" ht="15">
      <c r="A928" s="3" t="s">
        <v>460</v>
      </c>
      <c r="B928" s="4" t="s">
        <v>463</v>
      </c>
      <c r="C928" s="4" t="s">
        <v>731</v>
      </c>
      <c r="D928" s="3" t="str">
        <f>HYPERLINK("http://www.monitor.co.ug/News/National/-/688334/993696/-/x4gwj6/-/index.html")</f>
        <v>http://www.monitor.co.ug/News/National/-/688334/993696/-/x4gwj6/-/index.html</v>
      </c>
    </row>
    <row r="929" spans="1:4" ht="15">
      <c r="A929" s="3" t="s">
        <v>460</v>
      </c>
      <c r="B929" s="4" t="s">
        <v>295</v>
      </c>
      <c r="C929" s="4" t="s">
        <v>584</v>
      </c>
      <c r="D929" s="3" t="str">
        <f>HYPERLINK("http://www.monitor.co.ug/News/National/Cholera-kills-100--more-hospitalised-/-/688334/1411510/-/x45tje/-/index.html")</f>
        <v>http://www.monitor.co.ug/News/National/Cholera-kills-100--more-hospitalised-/-/688334/1411510/-/x45tje/-/index.html</v>
      </c>
    </row>
    <row r="930" spans="1:4" ht="15">
      <c r="A930" s="3" t="s">
        <v>460</v>
      </c>
      <c r="B930" s="4" t="s">
        <v>466</v>
      </c>
      <c r="C930" s="4" t="s">
        <v>602</v>
      </c>
      <c r="D930" s="3" t="str">
        <f>HYPERLINK("http://www.monitor.co.ug/Business/Prosper/Uganda-s-coffee-shipments-nosedive/-/688616/1461162/-/fcybv7/-/index.html")</f>
        <v>http://www.monitor.co.ug/Business/Prosper/Uganda-s-coffee-shipments-nosedive/-/688616/1461162/-/fcybv7/-/index.html</v>
      </c>
    </row>
    <row r="931" spans="1:4" ht="15">
      <c r="A931" s="3" t="s">
        <v>460</v>
      </c>
      <c r="B931" s="4" t="s">
        <v>21</v>
      </c>
      <c r="C931" s="4" t="s">
        <v>550</v>
      </c>
      <c r="D931" s="3" t="str">
        <f>HYPERLINK("http://www.monitor.co.ug/OpEd/OpEdColumnists/CharlesOnyangoObbo/-/878504/1227964/-/hoiv3u/-/index.html")</f>
        <v>http://www.monitor.co.ug/OpEd/OpEdColumnists/CharlesOnyangoObbo/-/878504/1227964/-/hoiv3u/-/index.html</v>
      </c>
    </row>
    <row r="932" spans="1:4" ht="15">
      <c r="A932" s="3" t="s">
        <v>470</v>
      </c>
      <c r="B932" s="4" t="s">
        <v>344</v>
      </c>
      <c r="C932" s="4" t="s">
        <v>758</v>
      </c>
      <c r="D932" s="3" t="str">
        <f>HYPERLINK("http://www.monitor.co.ug/News/National/Museveni-commissions-Karuma/-/688334/1945700/-/2yba3gz/-/index.html")</f>
        <v>http://www.monitor.co.ug/News/National/Museveni-commissions-Karuma/-/688334/1945700/-/2yba3gz/-/index.html</v>
      </c>
    </row>
    <row r="933" spans="1:4" ht="15">
      <c r="A933" s="3" t="s">
        <v>470</v>
      </c>
      <c r="B933" s="4" t="s">
        <v>34</v>
      </c>
      <c r="C933" s="4" t="s">
        <v>460</v>
      </c>
      <c r="D933" s="3" t="str">
        <f>HYPERLINK("http://www.newvision.co.ug/news/610816-floods-ravage-rwenzori-region.html")</f>
        <v>http://www.newvision.co.ug/news/610816-floods-ravage-rwenzori-region.html</v>
      </c>
    </row>
    <row r="934" spans="1:4" ht="15">
      <c r="A934" s="3" t="s">
        <v>471</v>
      </c>
      <c r="B934" s="5">
        <v>39792</v>
      </c>
      <c r="C934" s="4" t="s">
        <v>637</v>
      </c>
      <c r="D934" s="3" t="str">
        <f>HYPERLINK("http://www.monitor.co.ug/artsculture/Entertainment/-/812796/808530/-/bs7bju/-/index.html")</f>
        <v>http://www.monitor.co.ug/artsculture/Entertainment/-/812796/808530/-/bs7bju/-/index.html</v>
      </c>
    </row>
    <row r="935" spans="1:4" ht="15">
      <c r="A935" s="3" t="s">
        <v>471</v>
      </c>
      <c r="B935" s="4" t="s">
        <v>91</v>
      </c>
      <c r="C935" s="4" t="s">
        <v>71</v>
      </c>
      <c r="D935" s="3" t="str">
        <f>HYPERLINK("http://www.monitor.co.ug/News/National/Busoga-chiefs-to-elect-new-Kyabazinga-in-April/-/688334/2144786/-/hfikru/-/index.html")</f>
        <v>http://www.monitor.co.ug/News/National/Busoga-chiefs-to-elect-new-Kyabazinga-in-April/-/688334/2144786/-/hfikru/-/index.html</v>
      </c>
    </row>
    <row r="936" spans="1:4" ht="15">
      <c r="A936" s="3" t="s">
        <v>473</v>
      </c>
      <c r="B936" s="5">
        <v>40212</v>
      </c>
      <c r="C936" s="4" t="s">
        <v>604</v>
      </c>
      <c r="D936" s="3" t="str">
        <f>HYPERLINK("http://www.monitor.co.ug/News/National/-/688334/871634/-/wj4p83/-/index.html")</f>
        <v>http://www.monitor.co.ug/News/National/-/688334/871634/-/wj4p83/-/index.html</v>
      </c>
    </row>
    <row r="937" spans="1:4" ht="15">
      <c r="A937" s="3" t="s">
        <v>473</v>
      </c>
      <c r="B937" s="5">
        <v>40242</v>
      </c>
      <c r="C937" s="4" t="s">
        <v>603</v>
      </c>
      <c r="D937" s="3" t="str">
        <f>HYPERLINK("http://www.monitor.co.ug/OpEd/Letters/-/806314/910934/-/2ek4u4z/-/index.html")</f>
        <v>http://www.monitor.co.ug/OpEd/Letters/-/806314/910934/-/2ek4u4z/-/index.html</v>
      </c>
    </row>
    <row r="938" spans="1:4" ht="15">
      <c r="A938" s="3" t="s">
        <v>473</v>
      </c>
      <c r="B938" s="5">
        <v>40301</v>
      </c>
      <c r="C938" s="4" t="s">
        <v>603</v>
      </c>
      <c r="D938" s="3" t="str">
        <f>HYPERLINK("http://www.monitor.co.ug/News/National/-/688334/873454/-/wj62ca/-/index.html")</f>
        <v>http://www.monitor.co.ug/News/National/-/688334/873454/-/wj62ca/-/index.html</v>
      </c>
    </row>
    <row r="939" spans="1:4" ht="15">
      <c r="A939" s="3" t="s">
        <v>473</v>
      </c>
      <c r="B939" s="5">
        <v>40332</v>
      </c>
      <c r="C939" s="4" t="s">
        <v>603</v>
      </c>
      <c r="D939" s="3" t="str">
        <f>HYPERLINK("http://www.monitor.co.ug/OpEd/Commentary/-/689364/873950/-/ahn9p4z/-/index.html")</f>
        <v>http://www.monitor.co.ug/OpEd/Commentary/-/689364/873950/-/ahn9p4z/-/index.html</v>
      </c>
    </row>
    <row r="940" spans="1:4" ht="15">
      <c r="A940" s="3" t="s">
        <v>473</v>
      </c>
      <c r="B940" s="5">
        <v>40394</v>
      </c>
      <c r="C940" s="4" t="s">
        <v>602</v>
      </c>
      <c r="D940" s="3" t="str">
        <f>HYPERLINK("http://www.newvision.co.ug/news/621643-bududa-lc5-chief-warns-politicians-on-camp-issues.html")</f>
        <v>http://www.newvision.co.ug/news/621643-bududa-lc5-chief-warns-politicians-on-camp-issues.html</v>
      </c>
    </row>
    <row r="941" spans="1:4" ht="15">
      <c r="A941" s="3" t="s">
        <v>473</v>
      </c>
      <c r="B941" s="5">
        <v>40485</v>
      </c>
      <c r="C941" s="4" t="s">
        <v>563</v>
      </c>
      <c r="D941" s="3" t="str">
        <f>HYPERLINK("http://www.monitor.co.ug/News/National/-/688334/876940/-/wj8973/-/index.html")</f>
        <v>http://www.monitor.co.ug/News/National/-/688334/876940/-/wj8973/-/index.html</v>
      </c>
    </row>
    <row r="942" spans="1:4" ht="15">
      <c r="A942" s="3" t="s">
        <v>473</v>
      </c>
      <c r="B942" s="5">
        <v>40614</v>
      </c>
      <c r="C942" s="4" t="s">
        <v>473</v>
      </c>
      <c r="D942" s="3" t="str">
        <f>HYPERLINK("http://www.newvision.co.ug/news/314618-floods-wreck-butaleja-roads-and-homes.html")</f>
        <v>http://www.newvision.co.ug/news/314618-floods-wreck-butaleja-roads-and-homes.html</v>
      </c>
    </row>
    <row r="943" spans="1:4" ht="15">
      <c r="A943" s="3" t="s">
        <v>473</v>
      </c>
      <c r="B943" s="5">
        <v>40700</v>
      </c>
      <c r="C943" s="4" t="s">
        <v>611</v>
      </c>
      <c r="D943" s="3" t="str">
        <f>HYPERLINK("http://www.newvision.co.ug/news/321467-landslide-fear-grips-manafwa.html")</f>
        <v>http://www.newvision.co.ug/news/321467-landslide-fear-grips-manafwa.html</v>
      </c>
    </row>
    <row r="944" spans="1:4" ht="15">
      <c r="A944" s="3" t="s">
        <v>473</v>
      </c>
      <c r="B944" s="5">
        <v>40790</v>
      </c>
      <c r="C944" s="4" t="s">
        <v>602</v>
      </c>
      <c r="D944" s="3" t="str">
        <f>HYPERLINK("http://www.monitor.co.ug/News/National/-/688334/1141098/-/c2sc7pz/-/index.html")</f>
        <v>http://www.monitor.co.ug/News/National/-/688334/1141098/-/c2sc7pz/-/index.html</v>
      </c>
    </row>
    <row r="945" spans="1:4" ht="15">
      <c r="A945" s="3" t="s">
        <v>473</v>
      </c>
      <c r="B945" s="5">
        <v>40915</v>
      </c>
      <c r="C945" s="4" t="s">
        <v>602</v>
      </c>
      <c r="D945" s="3" t="str">
        <f>HYPERLINK("http://www.newvision.co.ug/news/632523-bududa-landslides-have-we-learnt-from-our-past-experience.html")</f>
        <v>http://www.newvision.co.ug/news/632523-bududa-landslides-have-we-learnt-from-our-past-experience.html</v>
      </c>
    </row>
    <row r="946" spans="1:4" ht="15">
      <c r="A946" s="3" t="s">
        <v>473</v>
      </c>
      <c r="B946" s="5">
        <v>41579</v>
      </c>
      <c r="C946" s="4" t="s">
        <v>703</v>
      </c>
      <c r="D946" s="3" t="str">
        <f>HYPERLINK("http://www.monitor.co.ug/Magazines/Jobs-Career/From-Child-labourers-to-self-sustaining-workers/-/689848/1662586/-/po2c20/-/index.html")</f>
        <v>http://www.monitor.co.ug/Magazines/Jobs-Career/From-Child-labourers-to-self-sustaining-workers/-/689848/1662586/-/po2c20/-/index.html</v>
      </c>
    </row>
    <row r="947" spans="1:4" ht="15">
      <c r="A947" s="3" t="s">
        <v>473</v>
      </c>
      <c r="B947" s="5">
        <v>41947</v>
      </c>
      <c r="C947" s="4" t="s">
        <v>767</v>
      </c>
      <c r="D947" s="3" t="str">
        <f>HYPERLINK("http://www.newvision.co.ug/news/654441-nrm-s-mutonyi-wins-bubulo-seat.html")</f>
        <v>http://www.newvision.co.ug/news/654441-nrm-s-mutonyi-wins-bubulo-seat.html</v>
      </c>
    </row>
    <row r="948" spans="1:4" ht="15">
      <c r="A948" s="3" t="s">
        <v>473</v>
      </c>
      <c r="B948" s="4" t="s">
        <v>202</v>
      </c>
      <c r="C948" s="4" t="s">
        <v>606</v>
      </c>
      <c r="D948" s="3" t="str">
        <f>HYPERLINK("http://www.newvision.co.ug/news/621337-who-trains-emergency-team-for-bududa-landslide-victims.html")</f>
        <v>http://www.newvision.co.ug/news/621337-who-trains-emergency-team-for-bududa-landslide-victims.html</v>
      </c>
    </row>
    <row r="949" spans="1:4" ht="15">
      <c r="A949" s="3" t="s">
        <v>473</v>
      </c>
      <c r="B949" s="4" t="s">
        <v>485</v>
      </c>
      <c r="C949" s="4" t="s">
        <v>603</v>
      </c>
      <c r="D949" s="3" t="str">
        <f>HYPERLINK("http://www.monitor.co.ug/News/National/Elgon-region-will-be-hot-till-March--say-experts/-/688334/2589564/-/4cdmv2z/-/index.html")</f>
        <v>http://www.monitor.co.ug/News/National/Elgon-region-will-be-hot-till-March--say-experts/-/688334/2589564/-/4cdmv2z/-/index.html</v>
      </c>
    </row>
    <row r="950" spans="1:4" ht="15">
      <c r="A950" s="3" t="s">
        <v>473</v>
      </c>
      <c r="B950" s="4" t="s">
        <v>480</v>
      </c>
      <c r="C950" s="4" t="s">
        <v>602</v>
      </c>
      <c r="D950" s="3" t="str">
        <f>HYPERLINK("http://www.monitor.co.ug/News/National/-/688334/1273312/-/bgtj0kz/-/index.html")</f>
        <v>http://www.monitor.co.ug/News/National/-/688334/1273312/-/bgtj0kz/-/index.html</v>
      </c>
    </row>
    <row r="951" spans="1:4" ht="15">
      <c r="A951" s="3" t="s">
        <v>473</v>
      </c>
      <c r="B951" s="4" t="s">
        <v>193</v>
      </c>
      <c r="C951" s="4" t="s">
        <v>605</v>
      </c>
      <c r="D951" s="3" t="str">
        <f>HYPERLINK("http://www.newvision.co.ug/news/623276-bududa-tragedy.html")</f>
        <v>http://www.newvision.co.ug/news/623276-bududa-tragedy.html</v>
      </c>
    </row>
    <row r="952" spans="1:4" ht="15">
      <c r="A952" s="3" t="s">
        <v>473</v>
      </c>
      <c r="B952" s="4" t="s">
        <v>193</v>
      </c>
      <c r="C952" s="4" t="s">
        <v>605</v>
      </c>
      <c r="D952" s="3" t="str">
        <f>HYPERLINK("http://www.newvision.co.ug/news/623275-bududa-tragedy.html")</f>
        <v>http://www.newvision.co.ug/news/623275-bududa-tragedy.html</v>
      </c>
    </row>
    <row r="953" spans="1:4" ht="15">
      <c r="A953" s="3" t="s">
        <v>473</v>
      </c>
      <c r="B953" s="4" t="s">
        <v>452</v>
      </c>
      <c r="C953" s="4" t="s">
        <v>473</v>
      </c>
      <c r="D953" s="3" t="str">
        <f>HYPERLINK("http://www.monitor.co.ug/News/National/-/688334/1219630/-/bkej2cz/-/index.html")</f>
        <v>http://www.monitor.co.ug/News/National/-/688334/1219630/-/bkej2cz/-/index.html</v>
      </c>
    </row>
    <row r="954" spans="1:4" ht="15">
      <c r="A954" s="3" t="s">
        <v>473</v>
      </c>
      <c r="B954" s="4" t="s">
        <v>448</v>
      </c>
      <c r="C954" s="4" t="s">
        <v>602</v>
      </c>
      <c r="D954" s="3" t="str">
        <f>HYPERLINK("http://www.monitor.co.ug/News/National/-/688334/900552/-/wxuxmp/-/index.html")</f>
        <v>http://www.monitor.co.ug/News/National/-/688334/900552/-/wxuxmp/-/index.html</v>
      </c>
    </row>
    <row r="955" spans="1:4" ht="15">
      <c r="A955" s="3" t="s">
        <v>473</v>
      </c>
      <c r="B955" s="4" t="s">
        <v>195</v>
      </c>
      <c r="C955" s="4" t="s">
        <v>603</v>
      </c>
      <c r="D955" s="3" t="str">
        <f>HYPERLINK("http://www.newvision.co.ug/news/623106-cmc-supports-tombs-re-building.html")</f>
        <v>http://www.newvision.co.ug/news/623106-cmc-supports-tombs-re-building.html</v>
      </c>
    </row>
    <row r="956" spans="1:4" ht="15">
      <c r="A956" s="3" t="s">
        <v>473</v>
      </c>
      <c r="B956" s="4" t="s">
        <v>241</v>
      </c>
      <c r="C956" s="4" t="s">
        <v>473</v>
      </c>
      <c r="D956" s="3" t="str">
        <f>HYPERLINK("http://www.monitor.co.ug/News/Education/-/688336/1146382/-/ei3myw/-/index.html")</f>
        <v>http://www.monitor.co.ug/News/Education/-/688336/1146382/-/ei3myw/-/index.html</v>
      </c>
    </row>
    <row r="957" spans="1:4" ht="15">
      <c r="A957" s="3" t="s">
        <v>473</v>
      </c>
      <c r="B957" s="4" t="s">
        <v>482</v>
      </c>
      <c r="C957" s="4" t="s">
        <v>603</v>
      </c>
      <c r="D957" s="3" t="str">
        <f>HYPERLINK("http://www.newvision.co.ug/news/633163-12-survive-landslides-in-mbale.html")</f>
        <v>http://www.newvision.co.ug/news/633163-12-survive-landslides-in-mbale.html</v>
      </c>
    </row>
    <row r="958" spans="1:4" ht="15">
      <c r="A958" s="3" t="s">
        <v>473</v>
      </c>
      <c r="B958" s="4" t="s">
        <v>482</v>
      </c>
      <c r="C958" s="4" t="s">
        <v>602</v>
      </c>
      <c r="D958" s="3" t="str">
        <f>HYPERLINK("http://www.newvision.co.ug/news/633157-landslides-hit-mbale-over-50-homesteads-affected.html")</f>
        <v>http://www.newvision.co.ug/news/633157-landslides-hit-mbale-over-50-homesteads-affected.html</v>
      </c>
    </row>
    <row r="959" spans="1:4" ht="15">
      <c r="A959" s="3" t="s">
        <v>473</v>
      </c>
      <c r="B959" s="4" t="s">
        <v>459</v>
      </c>
      <c r="C959" s="4" t="s">
        <v>473</v>
      </c>
      <c r="D959" s="3" t="str">
        <f>HYPERLINK("http://www.monitor.co.ug/News/National/Mbale-locals-protest-land-giveaway/-/688334/1483156/-/4e0wwhz/-/index.html")</f>
        <v>http://www.monitor.co.ug/News/National/Mbale-locals-protest-land-giveaway/-/688334/1483156/-/4e0wwhz/-/index.html</v>
      </c>
    </row>
    <row r="960" spans="1:4" ht="15">
      <c r="A960" s="3" t="s">
        <v>473</v>
      </c>
      <c r="B960" s="4" t="s">
        <v>80</v>
      </c>
      <c r="C960" s="4" t="s">
        <v>603</v>
      </c>
      <c r="D960" s="3" t="str">
        <f>HYPERLINK("http://www.monitor.co.ug/OpEd/Letters/-/806314/922528/-/2dwah2z/-/index.html")</f>
        <v>http://www.monitor.co.ug/OpEd/Letters/-/806314/922528/-/2dwah2z/-/index.html</v>
      </c>
    </row>
    <row r="961" spans="1:4" ht="15">
      <c r="A961" s="3" t="s">
        <v>473</v>
      </c>
      <c r="B961" s="4" t="s">
        <v>475</v>
      </c>
      <c r="C961" s="4" t="s">
        <v>555</v>
      </c>
      <c r="D961" s="3" t="str">
        <f>HYPERLINK("http://www.monitor.co.ug/News/National/-/688334/761888/-/vyfhah/-/index.html")</f>
        <v>http://www.monitor.co.ug/News/National/-/688334/761888/-/vyfhah/-/index.html</v>
      </c>
    </row>
    <row r="962" spans="1:4" ht="15">
      <c r="A962" s="3" t="s">
        <v>473</v>
      </c>
      <c r="B962" s="4" t="s">
        <v>479</v>
      </c>
      <c r="C962" s="4" t="s">
        <v>603</v>
      </c>
      <c r="D962" s="3" t="str">
        <f>HYPERLINK("http://www.monitor.co.ug/News/National/-/688334/1148940/-/c2na22z/-/index.html")</f>
        <v>http://www.monitor.co.ug/News/National/-/688334/1148940/-/c2na22z/-/index.html</v>
      </c>
    </row>
    <row r="963" spans="1:4" ht="15">
      <c r="A963" s="3" t="s">
        <v>473</v>
      </c>
      <c r="B963" s="4" t="s">
        <v>428</v>
      </c>
      <c r="C963" s="4" t="s">
        <v>603</v>
      </c>
      <c r="D963" s="3" t="str">
        <f>HYPERLINK("http://www.monitor.co.ug/Magazines/Farming/Makerere-University-sets-up-climate-centre/-/689860/2801004/-/isa0rv/-/index.html")</f>
        <v>http://www.monitor.co.ug/Magazines/Farming/Makerere-University-sets-up-climate-centre/-/689860/2801004/-/isa0rv/-/index.html</v>
      </c>
    </row>
    <row r="964" spans="1:4" ht="15">
      <c r="A964" s="3" t="s">
        <v>473</v>
      </c>
      <c r="B964" s="4" t="s">
        <v>477</v>
      </c>
      <c r="C964" s="4" t="s">
        <v>603</v>
      </c>
      <c r="D964" s="3" t="str">
        <f>HYPERLINK("http://www.newvision.co.ug/news/325832-manafwa-prone-to-landslides-Ã¢-experts.html")</f>
        <v>http://www.newvision.co.ug/news/325832-manafwa-prone-to-landslides-Ã¢-experts.html</v>
      </c>
    </row>
    <row r="965" spans="1:4" ht="15">
      <c r="A965" s="3" t="s">
        <v>473</v>
      </c>
      <c r="B965" s="4" t="s">
        <v>483</v>
      </c>
      <c r="C965" s="4" t="s">
        <v>603</v>
      </c>
      <c r="D965" s="3" t="str">
        <f>HYPERLINK("http://www.newvision.co.ug/news/633273-kenya-aids-bududa-landslide-victims.html")</f>
        <v>http://www.newvision.co.ug/news/633273-kenya-aids-bududa-landslide-victims.html</v>
      </c>
    </row>
    <row r="966" spans="1:4" ht="15">
      <c r="A966" s="3" t="s">
        <v>473</v>
      </c>
      <c r="B966" s="4" t="s">
        <v>78</v>
      </c>
      <c r="C966" s="4" t="s">
        <v>603</v>
      </c>
      <c r="D966" s="3" t="str">
        <f>HYPERLINK("http://www.newvision.co.ug/news/622705-anglican-church-aids-bududa-victims.html")</f>
        <v>http://www.newvision.co.ug/news/622705-anglican-church-aids-bududa-victims.html</v>
      </c>
    </row>
    <row r="967" spans="1:4" ht="15">
      <c r="A967" s="3" t="s">
        <v>473</v>
      </c>
      <c r="B967" s="4" t="s">
        <v>184</v>
      </c>
      <c r="C967" s="4" t="s">
        <v>804</v>
      </c>
      <c r="D967" s="3" t="str">
        <f>HYPERLINK("http://www.monitor.co.ug/News/National/-/688334/830582/-/wgmtnk/-/index.html")</f>
        <v>http://www.monitor.co.ug/News/National/-/688334/830582/-/wgmtnk/-/index.html</v>
      </c>
    </row>
    <row r="968" spans="1:4" ht="15">
      <c r="A968" s="3" t="s">
        <v>473</v>
      </c>
      <c r="B968" s="4" t="s">
        <v>197</v>
      </c>
      <c r="C968" s="4" t="s">
        <v>603</v>
      </c>
      <c r="D968" s="3" t="str">
        <f>HYPERLINK("http://www.newvision.co.ug/news/622582-bududa-troops-to-get-therapy.html")</f>
        <v>http://www.newvision.co.ug/news/622582-bududa-troops-to-get-therapy.html</v>
      </c>
    </row>
    <row r="969" spans="1:4" ht="15">
      <c r="A969" s="3" t="s">
        <v>473</v>
      </c>
      <c r="B969" s="4" t="s">
        <v>99</v>
      </c>
      <c r="C969" s="4" t="s">
        <v>473</v>
      </c>
      <c r="D969" s="3" t="str">
        <f>HYPERLINK("http://www.newvision.co.ug/news/618491-kaliro-roads-swept-away.html")</f>
        <v>http://www.newvision.co.ug/news/618491-kaliro-roads-swept-away.html</v>
      </c>
    </row>
    <row r="970" spans="1:4" ht="15">
      <c r="A970" s="3" t="s">
        <v>473</v>
      </c>
      <c r="B970" s="4" t="s">
        <v>474</v>
      </c>
      <c r="C970" s="4" t="s">
        <v>473</v>
      </c>
      <c r="D970" s="3" t="str">
        <f>HYPERLINK("http://www.newvision.co.ug/news/438771-businessman-wants-bou-case-revived.html")</f>
        <v>http://www.newvision.co.ug/news/438771-businessman-wants-bou-case-revived.html</v>
      </c>
    </row>
    <row r="971" spans="1:4" ht="15">
      <c r="A971" s="3" t="s">
        <v>473</v>
      </c>
      <c r="B971" s="4" t="s">
        <v>106</v>
      </c>
      <c r="C971" s="4" t="s">
        <v>602</v>
      </c>
      <c r="D971" s="3" t="str">
        <f>HYPERLINK("http://www.newvision.co.ug/news/632346-dozens-still-missing-army-joins-bududa-rescue-effort.html")</f>
        <v>http://www.newvision.co.ug/news/632346-dozens-still-missing-army-joins-bududa-rescue-effort.html</v>
      </c>
    </row>
    <row r="972" spans="1:4" ht="15">
      <c r="A972" s="3" t="s">
        <v>473</v>
      </c>
      <c r="B972" s="4" t="s">
        <v>476</v>
      </c>
      <c r="C972" s="4" t="s">
        <v>473</v>
      </c>
      <c r="D972" s="3" t="str">
        <f>HYPERLINK("http://www.newvision.co.ug/news/608226-govt-loses-sh1b-in-botched-deal.html")</f>
        <v>http://www.newvision.co.ug/news/608226-govt-loses-sh1b-in-botched-deal.html</v>
      </c>
    </row>
    <row r="973" spans="1:4" ht="15">
      <c r="A973" s="3" t="s">
        <v>473</v>
      </c>
      <c r="B973" s="4" t="s">
        <v>301</v>
      </c>
      <c r="C973" s="4" t="s">
        <v>563</v>
      </c>
      <c r="D973" s="3" t="str">
        <f>HYPERLINK("http://www.monitor.co.ug/News/National/Survivors-refuse-to-leave-scene-of-deadly-landslide/-/688334/1436648/-/f6hgfi/-/index.html")</f>
        <v>http://www.monitor.co.ug/News/National/Survivors-refuse-to-leave-scene-of-deadly-landslide/-/688334/1436648/-/f6hgfi/-/index.html</v>
      </c>
    </row>
    <row r="974" spans="1:4" ht="15">
      <c r="A974" s="3" t="s">
        <v>473</v>
      </c>
      <c r="B974" s="4" t="s">
        <v>454</v>
      </c>
      <c r="C974" s="4" t="s">
        <v>619</v>
      </c>
      <c r="D974" s="3" t="str">
        <f>HYPERLINK("http://www.newvision.co.ug/news/646539-landslides-wipe-out-2-000-acres-of-coffee-in-bududa.html")</f>
        <v>http://www.newvision.co.ug/news/646539-landslides-wipe-out-2-000-acres-of-coffee-in-bududa.html</v>
      </c>
    </row>
    <row r="975" spans="1:4" ht="15">
      <c r="A975" s="3" t="s">
        <v>473</v>
      </c>
      <c r="B975" s="4" t="s">
        <v>484</v>
      </c>
      <c r="C975" s="4" t="s">
        <v>473</v>
      </c>
      <c r="D975" s="3" t="str">
        <f>HYPERLINK("http://www.newvision.co.ug/news/659155-gulu-bus-impounded-in-lira-passengers-stranded.html")</f>
        <v>http://www.newvision.co.ug/news/659155-gulu-bus-impounded-in-lira-passengers-stranded.html</v>
      </c>
    </row>
    <row r="976" spans="1:4" ht="15">
      <c r="A976" s="3" t="s">
        <v>473</v>
      </c>
      <c r="B976" s="4" t="s">
        <v>478</v>
      </c>
      <c r="C976" s="4" t="s">
        <v>603</v>
      </c>
      <c r="D976" s="3" t="str">
        <f>HYPERLINK("http://www.monitor.co.ug/OpEd/Letters/-/806314/1133978/-/109uer3/-/index.html")</f>
        <v>http://www.monitor.co.ug/OpEd/Letters/-/806314/1133978/-/109uer3/-/index.html</v>
      </c>
    </row>
    <row r="977" spans="1:4" ht="15">
      <c r="A977" s="3" t="s">
        <v>473</v>
      </c>
      <c r="B977" s="4" t="s">
        <v>324</v>
      </c>
      <c r="C977" s="4" t="s">
        <v>617</v>
      </c>
      <c r="D977" s="3" t="str">
        <f>HYPERLINK("http://www.monitor.co.ug/News/National/Another-difficult-year-for-Bududa-landslide-victims/-/688334/1653302/-/77g41l/-/index.html")</f>
        <v>http://www.monitor.co.ug/News/National/Another-difficult-year-for-Bududa-landslide-victims/-/688334/1653302/-/77g41l/-/index.html</v>
      </c>
    </row>
    <row r="978" spans="1:4" ht="15">
      <c r="A978" s="3" t="s">
        <v>473</v>
      </c>
      <c r="B978" s="4" t="s">
        <v>207</v>
      </c>
      <c r="C978" s="4" t="s">
        <v>603</v>
      </c>
      <c r="D978" s="3" t="str">
        <f>HYPERLINK("http://www.newvision.co.ug/news/620236-2-more-landslide-victims-recovered.html")</f>
        <v>http://www.newvision.co.ug/news/620236-2-more-landslide-victims-recovered.html</v>
      </c>
    </row>
    <row r="979" spans="1:4" ht="15">
      <c r="A979" s="3" t="s">
        <v>473</v>
      </c>
      <c r="B979" s="4" t="s">
        <v>303</v>
      </c>
      <c r="C979" s="4" t="s">
        <v>614</v>
      </c>
      <c r="D979" s="3" t="str">
        <f>HYPERLINK("http://www.monitor.co.ug/News/National/Bududa-Hospital-struggles-with-landslide-victims/-/688334/1438944/-/tqrsix/-/index.html")</f>
        <v>http://www.monitor.co.ug/News/National/Bududa-Hospital-struggles-with-landslide-victims/-/688334/1438944/-/tqrsix/-/index.html</v>
      </c>
    </row>
    <row r="980" spans="1:4" ht="15">
      <c r="A980" s="3" t="s">
        <v>473</v>
      </c>
      <c r="B980" s="4" t="s">
        <v>319</v>
      </c>
      <c r="C980" s="4" t="s">
        <v>128</v>
      </c>
      <c r="D980" s="3" t="str">
        <f>HYPERLINK("http://www.monitor.co.ug/News/National/Resident-invade-MP-Werikhe-s-home-over-power-dam/-/688334/1607054/-/ebxvbsz/-/index.html")</f>
        <v>http://www.monitor.co.ug/News/National/Resident-invade-MP-Werikhe-s-home-over-power-dam/-/688334/1607054/-/ebxvbsz/-/index.html</v>
      </c>
    </row>
    <row r="981" spans="1:4" ht="15">
      <c r="A981" s="3" t="s">
        <v>473</v>
      </c>
      <c r="B981" s="4" t="s">
        <v>200</v>
      </c>
      <c r="C981" s="4" t="s">
        <v>602</v>
      </c>
      <c r="D981" s="3" t="str">
        <f>HYPERLINK("http://www.monitor.co.ug/News/National/-/688334/889152/-/wjvos7/-/index.html")</f>
        <v>http://www.monitor.co.ug/News/National/-/688334/889152/-/wjvos7/-/index.html</v>
      </c>
    </row>
    <row r="982" spans="1:4" ht="15">
      <c r="A982" s="3" t="s">
        <v>473</v>
      </c>
      <c r="B982" s="4" t="s">
        <v>200</v>
      </c>
      <c r="C982" s="4" t="s">
        <v>609</v>
      </c>
      <c r="D982" s="3" t="str">
        <f>HYPERLINK("http://www.newvision.co.ug/news/622303-expert-tips-govt-on-landslides.html")</f>
        <v>http://www.newvision.co.ug/news/622303-expert-tips-govt-on-landslides.html</v>
      </c>
    </row>
    <row r="983" spans="1:4" ht="15">
      <c r="A983" s="3" t="s">
        <v>473</v>
      </c>
      <c r="B983" s="4" t="s">
        <v>481</v>
      </c>
      <c r="C983" s="4" t="s">
        <v>603</v>
      </c>
      <c r="D983" s="3" t="str">
        <f>HYPERLINK("http://www.monitor.co.ug/OpEd/Letters/Relocating-survivors-good-but-has-govt-done-enoug/-/806314/1439120/-/li46p9z/-/index.html")</f>
        <v>http://www.monitor.co.ug/OpEd/Letters/Relocating-survivors-good-but-has-govt-done-enoug/-/806314/1439120/-/li46p9z/-/index.html</v>
      </c>
    </row>
    <row r="984" spans="1:4" ht="15">
      <c r="A984" s="3" t="s">
        <v>473</v>
      </c>
      <c r="B984" s="4" t="s">
        <v>201</v>
      </c>
      <c r="C984" s="4" t="s">
        <v>473</v>
      </c>
      <c r="D984" s="3" t="str">
        <f>HYPERLINK("http://www.newvision.co.ug/news/622180-manafwa-butaleja-floods-leave-8200-residents-8200-devastated.html")</f>
        <v>http://www.newvision.co.ug/news/622180-manafwa-butaleja-floods-leave-8200-residents-8200-devastated.html</v>
      </c>
    </row>
    <row r="985" spans="1:4" ht="15">
      <c r="A985" s="3" t="s">
        <v>473</v>
      </c>
      <c r="B985" s="4" t="s">
        <v>442</v>
      </c>
      <c r="C985" s="4" t="s">
        <v>603</v>
      </c>
      <c r="D985" s="3" t="str">
        <f>HYPERLINK("http://www.monitor.co.ug/News/National/-/688334/1136150/-/c3bdthz/-/index.html")</f>
        <v>http://www.monitor.co.ug/News/National/-/688334/1136150/-/c3bdthz/-/index.html</v>
      </c>
    </row>
    <row r="986" spans="1:4" ht="15">
      <c r="A986" s="3" t="s">
        <v>486</v>
      </c>
      <c r="B986" s="5">
        <v>38302</v>
      </c>
      <c r="C986" s="4" t="s">
        <v>128</v>
      </c>
      <c r="D986" s="3" t="str">
        <f>HYPERLINK("http://www.newvision.co.ug/news/409703-in-brief.html")</f>
        <v>http://www.newvision.co.ug/news/409703-in-brief.html</v>
      </c>
    </row>
    <row r="987" spans="1:4" ht="15">
      <c r="A987" s="3" t="s">
        <v>486</v>
      </c>
      <c r="B987" s="5">
        <v>39212</v>
      </c>
      <c r="C987" s="4" t="s">
        <v>635</v>
      </c>
      <c r="D987" s="3" t="str">
        <f>HYPERLINK("http://www.monitor.co.ug/News/-/688324/793252/-/bpum7p/-/index.html")</f>
        <v>http://www.monitor.co.ug/News/-/688324/793252/-/bpum7p/-/index.html</v>
      </c>
    </row>
    <row r="988" spans="1:4" ht="15">
      <c r="A988" s="3" t="s">
        <v>486</v>
      </c>
      <c r="B988" s="5">
        <v>39212</v>
      </c>
      <c r="C988" s="4" t="s">
        <v>505</v>
      </c>
      <c r="D988" s="3" t="str">
        <f>HYPERLINK("http://www.monitor.co.ug/News/-/688324/793284/-/bpumaf/-/index.html")</f>
        <v>http://www.monitor.co.ug/News/-/688324/793284/-/bpumaf/-/index.html</v>
      </c>
    </row>
    <row r="989" spans="1:4" ht="15">
      <c r="A989" s="3" t="s">
        <v>486</v>
      </c>
      <c r="B989" s="5">
        <v>39513</v>
      </c>
      <c r="C989" s="4" t="s">
        <v>407</v>
      </c>
      <c r="D989" s="3" t="str">
        <f>HYPERLINK("http://www.monitor.co.ug/OpEd/Letters/-/806314/739746/-/3gbb7ez/-/index.html")</f>
        <v>http://www.monitor.co.ug/OpEd/Letters/-/806314/739746/-/3gbb7ez/-/index.html</v>
      </c>
    </row>
    <row r="990" spans="1:4" ht="15">
      <c r="A990" s="3" t="s">
        <v>486</v>
      </c>
      <c r="B990" s="5">
        <v>39728</v>
      </c>
      <c r="C990" s="4" t="s">
        <v>562</v>
      </c>
      <c r="D990" s="3" t="str">
        <f>HYPERLINK("http://www.monitor.co.ug/News/Education/-/688336/743482/-/10fl209/-/index.html")</f>
        <v>http://www.monitor.co.ug/News/Education/-/688336/743482/-/10fl209/-/index.html</v>
      </c>
    </row>
    <row r="991" spans="1:4" ht="15">
      <c r="A991" s="3" t="s">
        <v>486</v>
      </c>
      <c r="B991" s="5">
        <v>39825</v>
      </c>
      <c r="C991" s="4" t="s">
        <v>550</v>
      </c>
      <c r="D991" s="3" t="str">
        <f>HYPERLINK("http://www.monitor.co.ug/News/National/-/688334/815448/-/wfi7ky/-/index.html")</f>
        <v>http://www.monitor.co.ug/News/National/-/688334/815448/-/wfi7ky/-/index.html</v>
      </c>
    </row>
    <row r="992" spans="1:4" ht="15">
      <c r="A992" s="3" t="s">
        <v>486</v>
      </c>
      <c r="B992" s="5">
        <v>40338</v>
      </c>
      <c r="C992" s="4" t="s">
        <v>94</v>
      </c>
      <c r="D992" s="3" t="str">
        <f>HYPERLINK("http://www.monitor.co.ug/News/National/-/688334/1004496/-/coa2ffz/-/index.html")</f>
        <v>http://www.monitor.co.ug/News/National/-/688334/1004496/-/coa2ffz/-/index.html</v>
      </c>
    </row>
    <row r="993" spans="1:4" ht="15">
      <c r="A993" s="3" t="s">
        <v>486</v>
      </c>
      <c r="B993" s="5">
        <v>40551</v>
      </c>
      <c r="C993" s="4" t="s">
        <v>651</v>
      </c>
      <c r="D993" s="3" t="str">
        <f>HYPERLINK("http://www.monitor.co.ug/OpEd/Letters/-/806314/1210928/-/10rmym9/-/index.html")</f>
        <v>http://www.monitor.co.ug/OpEd/Letters/-/806314/1210928/-/10rmym9/-/index.html</v>
      </c>
    </row>
    <row r="994" spans="1:4" ht="15">
      <c r="A994" s="3" t="s">
        <v>486</v>
      </c>
      <c r="B994" s="5">
        <v>40612</v>
      </c>
      <c r="C994" s="4" t="s">
        <v>128</v>
      </c>
      <c r="D994" s="3" t="str">
        <f>HYPERLINK("http://www.monitor.co.ug/OpEd/Commentary/-/689364/1247156/-/12qrxgrz/-/index.html")</f>
        <v>http://www.monitor.co.ug/OpEd/Commentary/-/689364/1247156/-/12qrxgrz/-/index.html</v>
      </c>
    </row>
    <row r="995" spans="1:4" ht="15">
      <c r="A995" s="3" t="s">
        <v>486</v>
      </c>
      <c r="B995" s="5">
        <v>41041</v>
      </c>
      <c r="C995" s="4" t="s">
        <v>826</v>
      </c>
      <c r="D995" s="3" t="str">
        <f>HYPERLINK("http://www.monitor.co.ug/Business/-/688322/1636418/-/6j7yc2/-/index.html")</f>
        <v>http://www.monitor.co.ug/Business/-/688322/1636418/-/6j7yc2/-/index.html</v>
      </c>
    </row>
    <row r="996" spans="1:4" ht="15">
      <c r="A996" s="3" t="s">
        <v>486</v>
      </c>
      <c r="B996" s="5">
        <v>41067</v>
      </c>
      <c r="C996" s="4" t="s">
        <v>446</v>
      </c>
      <c r="D996" s="3" t="str">
        <f>HYPERLINK("http://www.monitor.co.ug/News/National/Hold-former-ministers-accountable-for-IDs--MPs-tell-govt/-/688334/1445766/-/13okims/-/index.html")</f>
        <v>http://www.monitor.co.ug/News/National/Hold-former-ministers-accountable-for-IDs--MPs-tell-govt/-/688334/1445766/-/13okims/-/index.html</v>
      </c>
    </row>
    <row r="997" spans="1:4" ht="15">
      <c r="A997" s="3" t="s">
        <v>486</v>
      </c>
      <c r="B997" s="5">
        <v>41218</v>
      </c>
      <c r="C997" s="4" t="s">
        <v>505</v>
      </c>
      <c r="D997" s="3" t="str">
        <f>HYPERLINK("http://www.monitor.co.ug/artsculture/Reviews/Nyabihoko--The-lake-with-an-intriguing-history/-/691232/1403308/-/n8wcbhz/-/index.html")</f>
        <v>http://www.monitor.co.ug/artsculture/Reviews/Nyabihoko--The-lake-with-an-intriguing-history/-/691232/1403308/-/n8wcbhz/-/index.html</v>
      </c>
    </row>
    <row r="998" spans="1:4" ht="15">
      <c r="A998" s="3" t="s">
        <v>486</v>
      </c>
      <c r="B998" s="5">
        <v>41334</v>
      </c>
      <c r="C998" s="4" t="s">
        <v>407</v>
      </c>
      <c r="D998" s="3" t="str">
        <f>HYPERLINK("http://www.monitor.co.ug/Business/Markets/Transport-posts-few-milestones/-/688606/1656056/-/7og9nvz/-/index.html")</f>
        <v>http://www.monitor.co.ug/Business/Markets/Transport-posts-few-milestones/-/688606/1656056/-/7og9nvz/-/index.html</v>
      </c>
    </row>
    <row r="999" spans="1:4" ht="15">
      <c r="A999" s="3" t="s">
        <v>486</v>
      </c>
      <c r="B999" s="5">
        <v>41376</v>
      </c>
      <c r="C999" s="4" t="s">
        <v>473</v>
      </c>
      <c r="D999" s="3" t="str">
        <f>HYPERLINK("http://www.monitor.co.ug/Magazines/Farming/Northern-Uganda-to-bear-brunt-of-climate-change/-/689860/2097458/-/qyirub/-/index.html")</f>
        <v>http://www.monitor.co.ug/Magazines/Farming/Northern-Uganda-to-bear-brunt-of-climate-change/-/689860/2097458/-/qyirub/-/index.html</v>
      </c>
    </row>
    <row r="1000" spans="1:4" ht="15">
      <c r="A1000" s="3" t="s">
        <v>486</v>
      </c>
      <c r="B1000" s="5">
        <v>41397</v>
      </c>
      <c r="C1000" s="4" t="s">
        <v>812</v>
      </c>
      <c r="D1000" s="3" t="str">
        <f>HYPERLINK("http://www.monitor.co.ug/Magazines/Farming/He-changed-from-a-cattle-keeper-to-a-crop-farmer/-/689860/1712506/-/dkgf21/-/index.html")</f>
        <v>http://www.monitor.co.ug/Magazines/Farming/He-changed-from-a-cattle-keeper-to-a-crop-farmer/-/689860/1712506/-/dkgf21/-/index.html</v>
      </c>
    </row>
    <row r="1001" spans="1:4" ht="15">
      <c r="A1001" s="3" t="s">
        <v>486</v>
      </c>
      <c r="B1001" s="5">
        <v>41426</v>
      </c>
      <c r="C1001" s="4" t="s">
        <v>493</v>
      </c>
      <c r="D1001" s="3" t="str">
        <f>HYPERLINK("http://www.monitor.co.ug/Magazines/PeoplePower/UNRA--No-cash-for-600km-of-roads/-/689844/1657992/-/wbjghi/-/index.html")</f>
        <v>http://www.monitor.co.ug/Magazines/PeoplePower/UNRA--No-cash-for-600km-of-roads/-/689844/1657992/-/wbjghi/-/index.html</v>
      </c>
    </row>
    <row r="1002" spans="1:4" ht="15">
      <c r="A1002" s="3" t="s">
        <v>486</v>
      </c>
      <c r="B1002" s="5">
        <v>41490</v>
      </c>
      <c r="C1002" s="4" t="s">
        <v>708</v>
      </c>
      <c r="D1002" s="3" t="str">
        <f>HYPERLINK("http://www.monitor.co.ug/artsculture/Reviews/The-slum-dogs--life-in-bwaise/-/691232/1742006/-/act51u/-/index.html")</f>
        <v>http://www.monitor.co.ug/artsculture/Reviews/The-slum-dogs--life-in-bwaise/-/691232/1742006/-/act51u/-/index.html</v>
      </c>
    </row>
    <row r="1003" spans="1:4" ht="15">
      <c r="A1003" s="3" t="s">
        <v>486</v>
      </c>
      <c r="B1003" s="5">
        <v>41491</v>
      </c>
      <c r="C1003" s="4" t="s">
        <v>591</v>
      </c>
      <c r="D1003" s="3" t="str">
        <f>HYPERLINK("http://www.newvision.co.ug/news/642480-kasese-floods-destroy-property-worth-sh8b.html")</f>
        <v>http://www.newvision.co.ug/news/642480-kasese-floods-destroy-property-worth-sh8b.html</v>
      </c>
    </row>
    <row r="1004" spans="1:4" ht="15">
      <c r="A1004" s="3" t="s">
        <v>486</v>
      </c>
      <c r="B1004" s="5">
        <v>41552</v>
      </c>
      <c r="C1004" s="4" t="s">
        <v>775</v>
      </c>
      <c r="D1004" s="3" t="str">
        <f>HYPERLINK("http://www.newvision.co.ug/news/642545-kasese-floods-subside-red-cross.html")</f>
        <v>http://www.newvision.co.ug/news/642545-kasese-floods-subside-red-cross.html</v>
      </c>
    </row>
    <row r="1005" spans="1:4" ht="15">
      <c r="A1005" s="3" t="s">
        <v>486</v>
      </c>
      <c r="B1005" s="5">
        <v>41800</v>
      </c>
      <c r="C1005" s="4" t="s">
        <v>128</v>
      </c>
      <c r="D1005" s="3" t="str">
        <f>HYPERLINK("http://www.monitor.co.ug/artsculture/Reviews/How-hydropower-dams-dry-up-Nile-River-tourism/-/691232/2475930/-/12q6jeqz/-/index.html")</f>
        <v>http://www.monitor.co.ug/artsculture/Reviews/How-hydropower-dams-dry-up-Nile-River-tourism/-/691232/2475930/-/12q6jeqz/-/index.html</v>
      </c>
    </row>
    <row r="1006" spans="1:4" ht="15">
      <c r="A1006" s="3" t="s">
        <v>486</v>
      </c>
      <c r="B1006" s="5">
        <v>41856</v>
      </c>
      <c r="C1006" s="4" t="s">
        <v>563</v>
      </c>
      <c r="D1006" s="3" t="str">
        <f>HYPERLINK("http://www.newvision.co.ug/news/655378-five-perish-as-fresh-floods-hit-kasese.html")</f>
        <v>http://www.newvision.co.ug/news/655378-five-perish-as-fresh-floods-hit-kasese.html</v>
      </c>
    </row>
    <row r="1007" spans="1:4" ht="15">
      <c r="A1007" s="3" t="s">
        <v>486</v>
      </c>
      <c r="B1007" s="5">
        <v>41948</v>
      </c>
      <c r="C1007" s="4" t="s">
        <v>596</v>
      </c>
      <c r="D1007" s="3" t="str">
        <f>HYPERLINK("http://www.monitor.co.ug/News/National/Four-killed-as-floods-sweep-Kilembe-Mines-Hospital/-/688334/2310186/-/89v006z/-/index.html")</f>
        <v>http://www.monitor.co.ug/News/National/Four-killed-as-floods-sweep-Kilembe-Mines-Hospital/-/688334/2310186/-/89v006z/-/index.html</v>
      </c>
    </row>
    <row r="1008" spans="1:4" ht="15">
      <c r="A1008" s="3" t="s">
        <v>486</v>
      </c>
      <c r="B1008" s="5">
        <v>42314</v>
      </c>
      <c r="C1008" s="4" t="s">
        <v>128</v>
      </c>
      <c r="D1008" s="3" t="str">
        <f>HYPERLINK("http://www.monitor.co.ug/OpEd/OpEdColumnists/KaroliSsemogerere/need-legislation-clean-air-clean-water/-/878682/2747162/-/rbu6xp/-/index.html")</f>
        <v>http://www.monitor.co.ug/OpEd/OpEdColumnists/KaroliSsemogerere/need-legislation-clean-air-clean-water/-/878682/2747162/-/rbu6xp/-/index.html</v>
      </c>
    </row>
    <row r="1009" spans="1:4" ht="15">
      <c r="A1009" s="3" t="s">
        <v>486</v>
      </c>
      <c r="B1009" s="4" t="s">
        <v>489</v>
      </c>
      <c r="C1009" s="4" t="s">
        <v>642</v>
      </c>
      <c r="D1009" s="3" t="str">
        <f>HYPERLINK("http://www.monitor.co.ug/News/National/-/688334/1272672/-/bgu5t2z/-/index.html")</f>
        <v>http://www.monitor.co.ug/News/National/-/688334/1272672/-/bgu5t2z/-/index.html</v>
      </c>
    </row>
    <row r="1010" spans="1:4" ht="15">
      <c r="A1010" s="3" t="s">
        <v>486</v>
      </c>
      <c r="B1010" s="4" t="s">
        <v>115</v>
      </c>
      <c r="C1010" s="4" t="s">
        <v>584</v>
      </c>
      <c r="D1010" s="3" t="str">
        <f>HYPERLINK("http://www.newvision.co.ug/news/315976-plan-for-the-floods.html")</f>
        <v>http://www.newvision.co.ug/news/315976-plan-for-the-floods.html</v>
      </c>
    </row>
    <row r="1011" spans="1:4" ht="15">
      <c r="A1011" s="3" t="s">
        <v>486</v>
      </c>
      <c r="B1011" s="4" t="s">
        <v>115</v>
      </c>
      <c r="C1011" s="4" t="s">
        <v>584</v>
      </c>
      <c r="D1011" s="3" t="str">
        <f>HYPERLINK("http://www.newvision.co.ug/news/1211-plan-for-the-floods.html")</f>
        <v>http://www.newvision.co.ug/news/1211-plan-for-the-floods.html</v>
      </c>
    </row>
    <row r="1012" spans="1:4" ht="15">
      <c r="A1012" s="3" t="s">
        <v>486</v>
      </c>
      <c r="B1012" s="4" t="s">
        <v>19</v>
      </c>
      <c r="C1012" s="4" t="s">
        <v>128</v>
      </c>
      <c r="D1012" s="3" t="str">
        <f>HYPERLINK("http://www.monitor.co.ug/OpEd/Letters/-/806314/737970/-/3gcn7cz/-/index.html")</f>
        <v>http://www.monitor.co.ug/OpEd/Letters/-/806314/737970/-/3gcn7cz/-/index.html</v>
      </c>
    </row>
    <row r="1013" spans="1:4" ht="15">
      <c r="A1013" s="3" t="s">
        <v>486</v>
      </c>
      <c r="B1013" s="4" t="s">
        <v>82</v>
      </c>
      <c r="C1013" s="4" t="s">
        <v>584</v>
      </c>
      <c r="D1013" s="3" t="str">
        <f>HYPERLINK("http://www.monitor.co.ug/SpecialReports/-/688342/1202132/-/va8dfb/-/index.html")</f>
        <v>http://www.monitor.co.ug/SpecialReports/-/688342/1202132/-/va8dfb/-/index.html</v>
      </c>
    </row>
    <row r="1014" spans="1:4" ht="15">
      <c r="A1014" s="3" t="s">
        <v>486</v>
      </c>
      <c r="B1014" s="4" t="s">
        <v>93</v>
      </c>
      <c r="C1014" s="4" t="s">
        <v>654</v>
      </c>
      <c r="D1014" s="3" t="str">
        <f>HYPERLINK("http://www.monitor.co.ug/Business/Auto/Beware-of--deadly--routes/-/688614/2559930/-/12muu3z/-/index.html")</f>
        <v>http://www.monitor.co.ug/Business/Auto/Beware-of--deadly--routes/-/688614/2559930/-/12muu3z/-/index.html</v>
      </c>
    </row>
    <row r="1015" spans="1:4" ht="15">
      <c r="A1015" s="3" t="s">
        <v>486</v>
      </c>
      <c r="B1015" s="4" t="s">
        <v>150</v>
      </c>
      <c r="C1015" s="4" t="s">
        <v>637</v>
      </c>
      <c r="D1015" s="3" t="str">
        <f>HYPERLINK("http://www.monitor.co.ug/News/Education/-/688336/797162/-/10iqgcd/-/index.html")</f>
        <v>http://www.monitor.co.ug/News/Education/-/688336/797162/-/10iqgcd/-/index.html</v>
      </c>
    </row>
    <row r="1016" spans="1:4" ht="15">
      <c r="A1016" s="3" t="s">
        <v>486</v>
      </c>
      <c r="B1016" s="4" t="s">
        <v>123</v>
      </c>
      <c r="C1016" s="4" t="s">
        <v>650</v>
      </c>
      <c r="D1016" s="3" t="str">
        <f>HYPERLINK("http://www.monitor.co.ug/News/Education/-/688336/845856/-/10yp9fm/-/index.html")</f>
        <v>http://www.monitor.co.ug/News/Education/-/688336/845856/-/10yp9fm/-/index.html</v>
      </c>
    </row>
    <row r="1017" spans="1:4" ht="15">
      <c r="A1017" s="3" t="s">
        <v>486</v>
      </c>
      <c r="B1017" s="4" t="s">
        <v>182</v>
      </c>
      <c r="C1017" s="4" t="s">
        <v>726</v>
      </c>
      <c r="D1017" s="3" t="str">
        <f>HYPERLINK("http://www.monitor.co.ug/artsculture/Travel/-/691238/827618/-/oyt05z/-/index.html")</f>
        <v>http://www.monitor.co.ug/artsculture/Travel/-/691238/827618/-/oyt05z/-/index.html</v>
      </c>
    </row>
    <row r="1018" spans="1:4" ht="15">
      <c r="A1018" s="3" t="s">
        <v>486</v>
      </c>
      <c r="B1018" s="4" t="s">
        <v>168</v>
      </c>
      <c r="C1018" s="4" t="s">
        <v>505</v>
      </c>
      <c r="D1018" s="3" t="str">
        <f>HYPERLINK("http://www.monitor.co.ug/News/National/-/688334/754428/-/vxux2j/-/index.html")</f>
        <v>http://www.monitor.co.ug/News/National/-/688334/754428/-/vxux2j/-/index.html</v>
      </c>
    </row>
    <row r="1019" spans="1:4" ht="15">
      <c r="A1019" s="3" t="s">
        <v>486</v>
      </c>
      <c r="B1019" s="4" t="s">
        <v>238</v>
      </c>
      <c r="C1019" s="4" t="s">
        <v>552</v>
      </c>
      <c r="D1019" s="3" t="str">
        <f>HYPERLINK("http://www.monitor.co.ug/SpecialReports/-/688342/1130506/-/urxxsg/-/index.html")</f>
        <v>http://www.monitor.co.ug/SpecialReports/-/688342/1130506/-/urxxsg/-/index.html</v>
      </c>
    </row>
    <row r="1020" spans="1:4" ht="15">
      <c r="A1020" s="3" t="s">
        <v>486</v>
      </c>
      <c r="B1020" s="4" t="s">
        <v>217</v>
      </c>
      <c r="C1020" s="4" t="s">
        <v>128</v>
      </c>
      <c r="D1020" s="3" t="str">
        <f>HYPERLINK("http://www.monitor.co.ug/OpEd/Editorial/-/689360/962300/-/qvicx8z/-/index.html")</f>
        <v>http://www.monitor.co.ug/OpEd/Editorial/-/689360/962300/-/qvicx8z/-/index.html</v>
      </c>
    </row>
    <row r="1021" spans="1:4" ht="15">
      <c r="A1021" s="3" t="s">
        <v>486</v>
      </c>
      <c r="B1021" s="4" t="s">
        <v>458</v>
      </c>
      <c r="C1021" s="4" t="s">
        <v>671</v>
      </c>
      <c r="D1021" s="3" t="str">
        <f>HYPERLINK("http://www.monitor.co.ug/News/National/-/688334/1113952/-/c4ldawz/-/index.html")</f>
        <v>http://www.monitor.co.ug/News/National/-/688334/1113952/-/c4ldawz/-/index.html</v>
      </c>
    </row>
    <row r="1022" spans="1:4" ht="15">
      <c r="A1022" s="3" t="s">
        <v>486</v>
      </c>
      <c r="B1022" s="4" t="s">
        <v>330</v>
      </c>
      <c r="C1022" s="4" t="s">
        <v>585</v>
      </c>
      <c r="D1022" s="3" t="str">
        <f>HYPERLINK("http://www.monitor.co.ug/Magazines/PeoplePower/-Shs40b-Dura-deal--MPs-verdict-wrong-/-/689844/1702370/-/5plug9/-/index.html")</f>
        <v>http://www.monitor.co.ug/Magazines/PeoplePower/-Shs40b-Dura-deal--MPs-verdict-wrong-/-/689844/1702370/-/5plug9/-/index.html</v>
      </c>
    </row>
    <row r="1023" spans="1:4" ht="15">
      <c r="A1023" s="3" t="s">
        <v>486</v>
      </c>
      <c r="B1023" s="4" t="s">
        <v>9</v>
      </c>
      <c r="C1023" s="4" t="s">
        <v>128</v>
      </c>
      <c r="D1023" s="3" t="str">
        <f>HYPERLINK("http://www.monitor.co.ug/Magazines/Life/-/689856/780710/-/10sksnnz/-/index.html")</f>
        <v>http://www.monitor.co.ug/Magazines/Life/-/689856/780710/-/10sksnnz/-/index.html</v>
      </c>
    </row>
    <row r="1024" spans="1:4" ht="15">
      <c r="A1024" s="3" t="s">
        <v>486</v>
      </c>
      <c r="B1024" s="4" t="s">
        <v>359</v>
      </c>
      <c r="C1024" s="4" t="s">
        <v>128</v>
      </c>
      <c r="D1024" s="3" t="str">
        <f>HYPERLINK("http://www.monitor.co.ug/OpEd/Letters/Create-regional-cities-to-ease-Kampala-s-load/-/806314/2158916/-/tiiawy/-/index.html")</f>
        <v>http://www.monitor.co.ug/OpEd/Letters/Create-regional-cities-to-ease-Kampala-s-load/-/806314/2158916/-/tiiawy/-/index.html</v>
      </c>
    </row>
    <row r="1025" spans="1:4" ht="15">
      <c r="A1025" s="3" t="s">
        <v>486</v>
      </c>
      <c r="B1025" s="4" t="s">
        <v>487</v>
      </c>
      <c r="C1025" s="4" t="s">
        <v>826</v>
      </c>
      <c r="D1025" s="3" t="str">
        <f>HYPERLINK("http://www.newvision.co.ug/news/523532-tanzania-outlaws-ugandan-pastoralists.html")</f>
        <v>http://www.newvision.co.ug/news/523532-tanzania-outlaws-ugandan-pastoralists.html</v>
      </c>
    </row>
    <row r="1026" spans="1:4" ht="15">
      <c r="A1026" s="3" t="s">
        <v>486</v>
      </c>
      <c r="B1026" s="4" t="s">
        <v>490</v>
      </c>
      <c r="C1026" s="4" t="s">
        <v>805</v>
      </c>
      <c r="D1026" s="3" t="str">
        <f>HYPERLINK("http://www.monitor.co.ug/News/National/Nathan-Byanyima-s-supporters-walk-out-on-Museveni/-/688334/2088350/-/5edhj8z/-/index.html")</f>
        <v>http://www.monitor.co.ug/News/National/Nathan-Byanyima-s-supporters-walk-out-on-Museveni/-/688334/2088350/-/5edhj8z/-/index.html</v>
      </c>
    </row>
    <row r="1027" spans="1:4" ht="15">
      <c r="A1027" s="3" t="s">
        <v>486</v>
      </c>
      <c r="B1027" s="4" t="s">
        <v>163</v>
      </c>
      <c r="C1027" s="4" t="s">
        <v>584</v>
      </c>
      <c r="D1027" s="3" t="str">
        <f>HYPERLINK("http://www.monitor.co.ug/artsculture/Entertainment/-/812796/807318/-/bs6km8/-/index.html")</f>
        <v>http://www.monitor.co.ug/artsculture/Entertainment/-/812796/807318/-/bs6km8/-/index.html</v>
      </c>
    </row>
    <row r="1028" spans="1:4" ht="15">
      <c r="A1028" s="3" t="s">
        <v>486</v>
      </c>
      <c r="B1028" s="4" t="s">
        <v>42</v>
      </c>
      <c r="C1028" s="4" t="s">
        <v>128</v>
      </c>
      <c r="D1028" s="3" t="str">
        <f>HYPERLINK("http://www.monitor.co.ug/Magazines/Farming/Positive-outlook-for-food-supply-and-prices/-/689860/1894188/-/10chw6uz/-/index.html")</f>
        <v>http://www.monitor.co.ug/Magazines/Farming/Positive-outlook-for-food-supply-and-prices/-/689860/1894188/-/10chw6uz/-/index.html</v>
      </c>
    </row>
    <row r="1029" spans="1:4" ht="15">
      <c r="A1029" s="3" t="s">
        <v>486</v>
      </c>
      <c r="B1029" s="4" t="s">
        <v>269</v>
      </c>
      <c r="C1029" s="4" t="s">
        <v>600</v>
      </c>
      <c r="D1029" s="3" t="str">
        <f>HYPERLINK("http://www.monitor.co.ug/News/National/-/688334/1262666/-/bhgoq5z/-/index.html")</f>
        <v>http://www.monitor.co.ug/News/National/-/688334/1262666/-/bhgoq5z/-/index.html</v>
      </c>
    </row>
    <row r="1030" spans="1:4" ht="15">
      <c r="A1030" s="3" t="s">
        <v>486</v>
      </c>
      <c r="B1030" s="4" t="s">
        <v>401</v>
      </c>
      <c r="C1030" s="4" t="s">
        <v>505</v>
      </c>
      <c r="D1030" s="3" t="str">
        <f>HYPERLINK("http://www.newvision.co.ug/news/669046-rcc-boss-summoned-over-breach-of-contract.html")</f>
        <v>http://www.newvision.co.ug/news/669046-rcc-boss-summoned-over-breach-of-contract.html</v>
      </c>
    </row>
    <row r="1031" spans="1:4" ht="15">
      <c r="A1031" s="3" t="s">
        <v>486</v>
      </c>
      <c r="B1031" s="4" t="s">
        <v>356</v>
      </c>
      <c r="C1031" s="4" t="s">
        <v>128</v>
      </c>
      <c r="D1031" s="3" t="str">
        <f>HYPERLINK("http://www.monitor.co.ug/SpecialReports/-/688342/2092194/-/yi2kr9z/-/index.html")</f>
        <v>http://www.monitor.co.ug/SpecialReports/-/688342/2092194/-/yi2kr9z/-/index.html</v>
      </c>
    </row>
    <row r="1032" spans="1:4" ht="15">
      <c r="A1032" s="3" t="s">
        <v>486</v>
      </c>
      <c r="B1032" s="4" t="s">
        <v>488</v>
      </c>
      <c r="C1032" s="4" t="s">
        <v>750</v>
      </c>
      <c r="D1032" s="3" t="str">
        <f>HYPERLINK("http://www.monitor.co.ug/News/National/-/688334/1134940/-/c3cl82z/-/index.html")</f>
        <v>http://www.monitor.co.ug/News/National/-/688334/1134940/-/c3cl82z/-/index.html</v>
      </c>
    </row>
    <row r="1033" spans="1:4" ht="15">
      <c r="A1033" s="3" t="s">
        <v>446</v>
      </c>
      <c r="B1033" s="5">
        <v>40454</v>
      </c>
      <c r="C1033" s="4" t="s">
        <v>603</v>
      </c>
      <c r="D1033" s="3" t="str">
        <f>HYPERLINK("http://www.monitor.co.ug/News/National/-/688334/876310/-/wj84eo/-/index.html")</f>
        <v>http://www.monitor.co.ug/News/National/-/688334/876310/-/wj84eo/-/index.html</v>
      </c>
    </row>
    <row r="1034" spans="1:4" ht="15">
      <c r="A1034" s="3" t="s">
        <v>491</v>
      </c>
      <c r="B1034" s="5">
        <v>39609</v>
      </c>
      <c r="C1034" s="4" t="s">
        <v>813</v>
      </c>
      <c r="D1034" s="3" t="str">
        <f>HYPERLINK("http://www.monitor.co.ug/News/National/-/688334/752826/-/vxtmjy/-/index.html")</f>
        <v>http://www.monitor.co.ug/News/National/-/688334/752826/-/vxtmjy/-/index.html</v>
      </c>
    </row>
    <row r="1035" spans="1:4" ht="15">
      <c r="A1035" s="3" t="s">
        <v>491</v>
      </c>
      <c r="B1035" s="5">
        <v>40338</v>
      </c>
      <c r="C1035" s="4" t="s">
        <v>603</v>
      </c>
      <c r="D1035" s="3" t="str">
        <f>HYPERLINK("http://www.monitor.co.ug/News/National/-/688334/1004466/-/coa2i3z/-/index.html")</f>
        <v>http://www.monitor.co.ug/News/National/-/688334/1004466/-/coa2i3z/-/index.html</v>
      </c>
    </row>
    <row r="1036" spans="1:4" ht="15">
      <c r="A1036" s="3" t="s">
        <v>491</v>
      </c>
      <c r="B1036" s="5">
        <v>40644</v>
      </c>
      <c r="C1036" s="4" t="s">
        <v>563</v>
      </c>
      <c r="D1036" s="3" t="str">
        <f>HYPERLINK("http://www.monitor.co.ug/News/National/-/688334/1266918/-/bhdu8gz/-/index.html")</f>
        <v>http://www.monitor.co.ug/News/National/-/688334/1266918/-/bhdu8gz/-/index.html</v>
      </c>
    </row>
    <row r="1037" spans="1:4" ht="15">
      <c r="A1037" s="3" t="s">
        <v>491</v>
      </c>
      <c r="B1037" s="5">
        <v>40672</v>
      </c>
      <c r="C1037" s="4" t="s">
        <v>814</v>
      </c>
      <c r="D1037" s="3" t="str">
        <f>HYPERLINK("http://www.monitor.co.ug/News/National/-/688334/1230468/-/bjcqmaz/-/index.html")</f>
        <v>http://www.monitor.co.ug/News/National/-/688334/1230468/-/bjcqmaz/-/index.html</v>
      </c>
    </row>
    <row r="1038" spans="1:4" ht="15">
      <c r="A1038" s="3" t="s">
        <v>491</v>
      </c>
      <c r="B1038" s="5">
        <v>40886</v>
      </c>
      <c r="C1038" s="4" t="s">
        <v>807</v>
      </c>
      <c r="D1038" s="3" t="str">
        <f>HYPERLINK("http://www.monitor.co.ug/News/National/-/688334/1234740/-/bj9w28z/-/index.html")</f>
        <v>http://www.monitor.co.ug/News/National/-/688334/1234740/-/bj9w28z/-/index.html</v>
      </c>
    </row>
    <row r="1039" spans="1:4" ht="15">
      <c r="A1039" s="3" t="s">
        <v>491</v>
      </c>
      <c r="B1039" s="4" t="s">
        <v>492</v>
      </c>
      <c r="C1039" s="4" t="s">
        <v>814</v>
      </c>
      <c r="D1039" s="3" t="str">
        <f>HYPERLINK("http://www.monitor.co.ug/News/National/Transport-paralysed-as-floods-block-ferry/-/688334/1618454/-/llk4p0/-/index.html")</f>
        <v>http://www.monitor.co.ug/News/National/Transport-paralysed-as-floods-block-ferry/-/688334/1618454/-/llk4p0/-/index.html</v>
      </c>
    </row>
    <row r="1040" spans="1:4" ht="15">
      <c r="A1040" s="3" t="s">
        <v>491</v>
      </c>
      <c r="B1040" s="4" t="s">
        <v>261</v>
      </c>
      <c r="C1040" s="4" t="s">
        <v>558</v>
      </c>
      <c r="D1040" s="3" t="str">
        <f>HYPERLINK("http://www.monitor.co.ug/News/National/-/688334/1227598/-/bjtefaz/-/index.html")</f>
        <v>http://www.monitor.co.ug/News/National/-/688334/1227598/-/bjtefaz/-/index.html</v>
      </c>
    </row>
    <row r="1041" spans="1:4" ht="15">
      <c r="A1041" s="3" t="s">
        <v>493</v>
      </c>
      <c r="B1041" s="4" t="s">
        <v>495</v>
      </c>
      <c r="C1041" s="4" t="s">
        <v>128</v>
      </c>
      <c r="D1041" s="3" t="str">
        <f>HYPERLINK("http://www.newvision.co.ug/news/632021-fake-cosmetics-flood-kampala-shops.html")</f>
        <v>http://www.newvision.co.ug/news/632021-fake-cosmetics-flood-kampala-shops.html</v>
      </c>
    </row>
    <row r="1042" spans="1:4" ht="15">
      <c r="A1042" s="3" t="s">
        <v>493</v>
      </c>
      <c r="B1042" s="4" t="s">
        <v>415</v>
      </c>
      <c r="C1042" s="4" t="s">
        <v>593</v>
      </c>
      <c r="D1042" s="3" t="str">
        <f>HYPERLINK("http://www.monitor.co.ug/Magazines/PeoplePower/Fury-as-pigs-are-sneaked-into-House/-/689844/2357288/-/7ftwjd/-/index.html")</f>
        <v>http://www.monitor.co.ug/Magazines/PeoplePower/Fury-as-pigs-are-sneaked-into-House/-/689844/2357288/-/7ftwjd/-/index.html</v>
      </c>
    </row>
    <row r="1043" spans="1:4" ht="15">
      <c r="A1043" s="3" t="s">
        <v>493</v>
      </c>
      <c r="B1043" s="4" t="s">
        <v>494</v>
      </c>
      <c r="C1043" s="4" t="s">
        <v>576</v>
      </c>
      <c r="D1043" s="3" t="str">
        <f>HYPERLINK("http://www.monitor.co.ug/News/National/-/688334/1000128/-/cocw8mz/-/index.html")</f>
        <v>http://www.monitor.co.ug/News/National/-/688334/1000128/-/cocw8mz/-/index.html</v>
      </c>
    </row>
    <row r="1044" spans="1:4" ht="15">
      <c r="A1044" s="3" t="s">
        <v>496</v>
      </c>
      <c r="B1044" s="5">
        <v>38232</v>
      </c>
      <c r="C1044" s="4" t="s">
        <v>128</v>
      </c>
      <c r="D1044" s="3" t="str">
        <f>HYPERLINK("http://www.monitor.co.ug/SpecialReports/WarMemories/-/859092/858444/-/4a7f64z/-/index.html")</f>
        <v>http://www.monitor.co.ug/SpecialReports/WarMemories/-/859092/858444/-/4a7f64z/-/index.html</v>
      </c>
    </row>
    <row r="1045" spans="1:4" ht="15">
      <c r="A1045" s="3" t="s">
        <v>496</v>
      </c>
      <c r="B1045" s="5">
        <v>39125</v>
      </c>
      <c r="C1045" s="4" t="s">
        <v>460</v>
      </c>
      <c r="D1045" s="3" t="str">
        <f>HYPERLINK("http://www.monitor.co.ug/Magazines/-/689838/798482/-/qa8kja/-/index.html")</f>
        <v>http://www.monitor.co.ug/Magazines/-/689838/798482/-/qa8kja/-/index.html</v>
      </c>
    </row>
    <row r="1046" spans="1:4" ht="15">
      <c r="A1046" s="3" t="s">
        <v>496</v>
      </c>
      <c r="B1046" s="5">
        <v>40459</v>
      </c>
      <c r="C1046" s="4" t="s">
        <v>628</v>
      </c>
      <c r="D1046" s="3" t="str">
        <f>HYPERLINK("http://www.monitor.co.ug/Business/Prosper/-/688616/973536/-/iwofqxz/-/index.html")</f>
        <v>http://www.monitor.co.ug/Business/Prosper/-/688616/973536/-/iwofqxz/-/index.html</v>
      </c>
    </row>
    <row r="1047" spans="1:4" ht="15">
      <c r="A1047" s="3" t="s">
        <v>496</v>
      </c>
      <c r="B1047" s="5">
        <v>41426</v>
      </c>
      <c r="C1047" s="4" t="s">
        <v>493</v>
      </c>
      <c r="D1047" s="3" t="str">
        <f>HYPERLINK("http://www.monitor.co.ug/Magazines/PeoplePower/UNRA--No-cash-for-600km-of-roads/-/689844/1657992/-/wbjghi/-/index.html")</f>
        <v>http://www.monitor.co.ug/Magazines/PeoplePower/UNRA--No-cash-for-600km-of-roads/-/689844/1657992/-/wbjghi/-/index.html</v>
      </c>
    </row>
    <row r="1048" spans="1:4" ht="15">
      <c r="A1048" s="3" t="s">
        <v>496</v>
      </c>
      <c r="B1048" s="4" t="s">
        <v>351</v>
      </c>
      <c r="C1048" s="4" t="s">
        <v>128</v>
      </c>
      <c r="D1048" s="3" t="str">
        <f>HYPERLINK("http://www.monitor.co.ug/News/National/Heavy-rains-destroy-homes--crops/-/688334/2030892/-/m9c0yi/-/index.html")</f>
        <v>http://www.monitor.co.ug/News/National/Heavy-rains-destroy-homes--crops/-/688334/2030892/-/m9c0yi/-/index.html</v>
      </c>
    </row>
    <row r="1049" spans="1:4" ht="15">
      <c r="A1049" s="3" t="s">
        <v>496</v>
      </c>
      <c r="B1049" s="4" t="s">
        <v>497</v>
      </c>
      <c r="C1049" s="4" t="s">
        <v>770</v>
      </c>
      <c r="D1049" s="3" t="str">
        <f>HYPERLINK("http://www.monitor.co.ug/OpEd/Letters/Uneb-should-have-provisions-for-students-involved/-/806314/1621140/-/gvb775/-/index.html")</f>
        <v>http://www.monitor.co.ug/OpEd/Letters/Uneb-should-have-provisions-for-students-involved/-/806314/1621140/-/gvb775/-/index.html</v>
      </c>
    </row>
    <row r="1050" spans="1:4" ht="15">
      <c r="A1050" s="3" t="s">
        <v>496</v>
      </c>
      <c r="B1050" s="4" t="s">
        <v>241</v>
      </c>
      <c r="C1050" s="4" t="s">
        <v>676</v>
      </c>
      <c r="D1050" s="3" t="str">
        <f>HYPERLINK("http://www.monitor.co.ug/artsculture/Reviews/-/691232/1146338/-/r46pfz/-/index.html")</f>
        <v>http://www.monitor.co.ug/artsculture/Reviews/-/691232/1146338/-/r46pfz/-/index.html</v>
      </c>
    </row>
    <row r="1051" spans="1:4" ht="15">
      <c r="A1051" s="3" t="s">
        <v>496</v>
      </c>
      <c r="B1051" s="4" t="s">
        <v>248</v>
      </c>
      <c r="C1051" s="4" t="s">
        <v>128</v>
      </c>
      <c r="D1051" s="3" t="str">
        <f>HYPERLINK("http://www.monitor.co.ug/OpEd/Commentary/-/689364/1165966/-/139nsqoz/-/index.html")</f>
        <v>http://www.monitor.co.ug/OpEd/Commentary/-/689364/1165966/-/139nsqoz/-/index.html</v>
      </c>
    </row>
    <row r="1052" spans="1:4" ht="15">
      <c r="A1052" s="3" t="s">
        <v>496</v>
      </c>
      <c r="B1052" s="4" t="s">
        <v>383</v>
      </c>
      <c r="C1052" s="4" t="s">
        <v>718</v>
      </c>
      <c r="D1052" s="3" t="str">
        <f>HYPERLINK("http://www.monitor.co.ug/Magazines/HomesandProperty/A-fast-growing-trading-centre/-/689858/2495182/-/jui076/-/index.html")</f>
        <v>http://www.monitor.co.ug/Magazines/HomesandProperty/A-fast-growing-trading-centre/-/689858/2495182/-/jui076/-/index.html</v>
      </c>
    </row>
    <row r="1053" spans="1:4" ht="15">
      <c r="A1053" s="3" t="s">
        <v>496</v>
      </c>
      <c r="B1053" s="4" t="s">
        <v>25</v>
      </c>
      <c r="C1053" s="4" t="s">
        <v>128</v>
      </c>
      <c r="D1053" s="3" t="str">
        <f>HYPERLINK("http://www.newvision.co.ug/news/662091-week-long-floods-cut-off-mubende-roads.html")</f>
        <v>http://www.newvision.co.ug/news/662091-week-long-floods-cut-off-mubende-roads.html</v>
      </c>
    </row>
    <row r="1054" spans="1:4" ht="15">
      <c r="A1054" s="3" t="s">
        <v>496</v>
      </c>
      <c r="B1054" s="4" t="s">
        <v>70</v>
      </c>
      <c r="C1054" s="4" t="s">
        <v>566</v>
      </c>
      <c r="D1054" s="3" t="str">
        <f>HYPERLINK("http://www.monitor.co.ug/OpEd/Commentary/Lands-officials-are-not-involved-in-fraudulent--giveaways-/-/689364/2693034/-/i7stk6/-/index.html")</f>
        <v>http://www.monitor.co.ug/OpEd/Commentary/Lands-officials-are-not-involved-in-fraudulent--giveaways-/-/689364/2693034/-/i7stk6/-/index.html</v>
      </c>
    </row>
    <row r="1055" spans="1:4" ht="15">
      <c r="A1055" s="3" t="s">
        <v>496</v>
      </c>
      <c r="B1055" s="4" t="s">
        <v>175</v>
      </c>
      <c r="C1055" s="4" t="s">
        <v>646</v>
      </c>
      <c r="D1055" s="3" t="str">
        <f>HYPERLINK("http://www.monitor.co.ug/Business/Auto/-/688614/713712/-/hejfniz/-/index.html")</f>
        <v>http://www.monitor.co.ug/Business/Auto/-/688614/713712/-/hejfniz/-/index.html</v>
      </c>
    </row>
    <row r="1056" spans="1:4" ht="15">
      <c r="A1056" s="3" t="s">
        <v>496</v>
      </c>
      <c r="B1056" s="4" t="s">
        <v>324</v>
      </c>
      <c r="C1056" s="4" t="s">
        <v>577</v>
      </c>
      <c r="D1056" s="3" t="str">
        <f>HYPERLINK("http://www.monitor.co.ug/News/National/Red-Cross-registers-66-injury-cases/-/688334/1653290/-/epkxafz/-/index.html")</f>
        <v>http://www.monitor.co.ug/News/National/Red-Cross-registers-66-injury-cases/-/688334/1653290/-/epkxafz/-/index.html</v>
      </c>
    </row>
    <row r="1057" spans="1:4" ht="15">
      <c r="A1057" s="3" t="s">
        <v>496</v>
      </c>
      <c r="B1057" s="4" t="s">
        <v>169</v>
      </c>
      <c r="C1057" s="4" t="s">
        <v>128</v>
      </c>
      <c r="D1057" s="3" t="str">
        <f>HYPERLINK("http://www.monitor.co.ug/News/Education/-/688336/695462/-/yymebn/-/index.html")</f>
        <v>http://www.monitor.co.ug/News/Education/-/688336/695462/-/yymebn/-/index.html</v>
      </c>
    </row>
    <row r="1058" spans="1:4" ht="15">
      <c r="A1058" s="3" t="s">
        <v>498</v>
      </c>
      <c r="B1058" s="5">
        <v>39819</v>
      </c>
      <c r="C1058" s="4" t="s">
        <v>498</v>
      </c>
      <c r="D1058" s="3" t="str">
        <f>HYPERLINK("http://www.newvision.co.ug/news/543283-dp-man-sworn-in-as-gomba-chief.html")</f>
        <v>http://www.newvision.co.ug/news/543283-dp-man-sworn-in-as-gomba-chief.html</v>
      </c>
    </row>
    <row r="1059" spans="1:4" ht="15">
      <c r="A1059" s="3" t="s">
        <v>498</v>
      </c>
      <c r="B1059" s="5">
        <v>39819</v>
      </c>
      <c r="C1059" s="4" t="s">
        <v>498</v>
      </c>
      <c r="D1059" s="3" t="str">
        <f>HYPERLINK("http://www.newvision.co.ug/news/568223-dp-man-sworn-in-as-gomba-chief.html")</f>
        <v>http://www.newvision.co.ug/news/568223-dp-man-sworn-in-as-gomba-chief.html</v>
      </c>
    </row>
    <row r="1060" spans="1:4" ht="15">
      <c r="A1060" s="3" t="s">
        <v>498</v>
      </c>
      <c r="B1060" s="5">
        <v>40332</v>
      </c>
      <c r="C1060" s="4" t="s">
        <v>607</v>
      </c>
      <c r="D1060" s="3" t="str">
        <f>HYPERLINK("http://www.monitor.co.ug/News/National/-/688334/873748/-/wj64nv/-/index.html")</f>
        <v>http://www.monitor.co.ug/News/National/-/688334/873748/-/wj64nv/-/index.html</v>
      </c>
    </row>
    <row r="1061" spans="1:4" ht="15">
      <c r="A1061" s="3" t="s">
        <v>498</v>
      </c>
      <c r="B1061" s="5">
        <v>40485</v>
      </c>
      <c r="C1061" s="4" t="s">
        <v>498</v>
      </c>
      <c r="D1061" s="3" t="str">
        <f>HYPERLINK("http://www.monitor.co.ug/News/National/-/688334/877088/-/wj8qjw/-/index.html")</f>
        <v>http://www.monitor.co.ug/News/National/-/688334/877088/-/wj8qjw/-/index.html</v>
      </c>
    </row>
    <row r="1062" spans="1:4" ht="15">
      <c r="A1062" s="3" t="s">
        <v>498</v>
      </c>
      <c r="B1062" s="5">
        <v>40704</v>
      </c>
      <c r="C1062" s="4" t="s">
        <v>779</v>
      </c>
      <c r="D1062" s="3" t="str">
        <f>HYPERLINK("http://www.monitor.co.ug/News/National/-/688334/1248750/-/bikkucz/-/index.html")</f>
        <v>http://www.monitor.co.ug/News/National/-/688334/1248750/-/bikkucz/-/index.html</v>
      </c>
    </row>
    <row r="1063" spans="1:4" ht="15">
      <c r="A1063" s="3" t="s">
        <v>498</v>
      </c>
      <c r="B1063" s="5">
        <v>41187</v>
      </c>
      <c r="C1063" s="4" t="s">
        <v>52</v>
      </c>
      <c r="D1063" s="3" t="str">
        <f>HYPERLINK("http://www.monitor.co.ug/OpEd/OpEdColumnists/KaroliSsemogerere/Collapse-of-rural-economies-has-long-term-implications/-/878682/1402740/-/45d8w3z/-/index.html")</f>
        <v>http://www.monitor.co.ug/OpEd/OpEdColumnists/KaroliSsemogerere/Collapse-of-rural-economies-has-long-term-implications/-/878682/1402740/-/45d8w3z/-/index.html</v>
      </c>
    </row>
    <row r="1064" spans="1:4" ht="15">
      <c r="A1064" s="3" t="s">
        <v>498</v>
      </c>
      <c r="B1064" s="5">
        <v>41527</v>
      </c>
      <c r="C1064" s="4" t="s">
        <v>733</v>
      </c>
      <c r="D1064" s="3" t="str">
        <f>HYPERLINK("http://www.monitor.co.ug/OpEd/Commentary/Uganda-s-geothermal-energy-requires-investment-boost/-/689364/2024126/-/10qcaic/-/index.html")</f>
        <v>http://www.monitor.co.ug/OpEd/Commentary/Uganda-s-geothermal-energy-requires-investment-boost/-/689364/2024126/-/10qcaic/-/index.html</v>
      </c>
    </row>
    <row r="1065" spans="1:4" ht="15">
      <c r="A1065" s="3" t="s">
        <v>498</v>
      </c>
      <c r="B1065" s="4" t="s">
        <v>500</v>
      </c>
      <c r="C1065" s="4" t="s">
        <v>26</v>
      </c>
      <c r="D1065" s="3" t="str">
        <f>HYPERLINK("http://www.monitor.co.ug/News/National/Rains-to--extend-in-most-districts-/-/688334/1427882/-/3pkn0kz/-/index.html")</f>
        <v>http://www.monitor.co.ug/News/National/Rains-to--extend-in-most-districts-/-/688334/1427882/-/3pkn0kz/-/index.html</v>
      </c>
    </row>
    <row r="1066" spans="1:4" ht="15">
      <c r="A1066" s="3" t="s">
        <v>498</v>
      </c>
      <c r="B1066" s="4" t="s">
        <v>472</v>
      </c>
      <c r="C1066" s="4" t="s">
        <v>631</v>
      </c>
      <c r="D1066" s="3" t="str">
        <f>HYPERLINK("http://www.monitor.co.ug/Magazines/Farming/-/689860/1388760/-/xsxjxz/-/index.html")</f>
        <v>http://www.monitor.co.ug/Magazines/Farming/-/689860/1388760/-/xsxjxz/-/index.html</v>
      </c>
    </row>
    <row r="1067" spans="1:4" ht="15">
      <c r="A1067" s="3" t="s">
        <v>498</v>
      </c>
      <c r="B1067" s="4" t="s">
        <v>102</v>
      </c>
      <c r="C1067" s="4" t="s">
        <v>473</v>
      </c>
      <c r="D1067" s="3" t="str">
        <f>HYPERLINK("http://www.monitor.co.ug/News/National/-/688334/1238644/-/bj75jvz/-/index.html")</f>
        <v>http://www.monitor.co.ug/News/National/-/688334/1238644/-/bj75jvz/-/index.html</v>
      </c>
    </row>
    <row r="1068" spans="1:4" ht="15">
      <c r="A1068" s="3" t="s">
        <v>498</v>
      </c>
      <c r="B1068" s="4" t="s">
        <v>328</v>
      </c>
      <c r="C1068" s="4" t="s">
        <v>498</v>
      </c>
      <c r="D1068" s="3" t="str">
        <f>HYPERLINK("http://www.monitor.co.ug/Business/Businesswoman-battles-insurance--courier-firms-over-compensation/-/688322/1698954/-/9j7jwsz/-/index.html")</f>
        <v>http://www.monitor.co.ug/Business/Businesswoman-battles-insurance--courier-firms-over-compensation/-/688322/1698954/-/9j7jwsz/-/index.html</v>
      </c>
    </row>
    <row r="1069" spans="1:4" ht="15">
      <c r="A1069" s="3" t="s">
        <v>498</v>
      </c>
      <c r="B1069" s="4" t="s">
        <v>395</v>
      </c>
      <c r="C1069" s="4" t="s">
        <v>498</v>
      </c>
      <c r="D1069" s="3" t="str">
        <f>HYPERLINK("http://www.monitor.co.ug/OpEd/Letters/paying-high-price-water-waste-treatment/-/806314/2691686/-/xh1p9dz/-/index.html")</f>
        <v>http://www.monitor.co.ug/OpEd/Letters/paying-high-price-water-waste-treatment/-/806314/2691686/-/xh1p9dz/-/index.html</v>
      </c>
    </row>
    <row r="1070" spans="1:4" ht="15">
      <c r="A1070" s="3" t="s">
        <v>498</v>
      </c>
      <c r="B1070" s="4" t="s">
        <v>499</v>
      </c>
      <c r="C1070" s="4" t="s">
        <v>498</v>
      </c>
      <c r="D1070" s="3" t="str">
        <f>HYPERLINK("http://www.newvision.co.ug/news/366622-government-disowns-kazibwe-sh100m-deal.html")</f>
        <v>http://www.newvision.co.ug/news/366622-government-disowns-kazibwe-sh100m-deal.html</v>
      </c>
    </row>
    <row r="1071" spans="1:4" ht="15">
      <c r="A1071" s="3" t="s">
        <v>498</v>
      </c>
      <c r="B1071" s="4" t="s">
        <v>499</v>
      </c>
      <c r="C1071" s="4" t="s">
        <v>498</v>
      </c>
      <c r="D1071" s="3" t="str">
        <f>HYPERLINK("http://www.newvision.co.ug/news/392202-government-disowns-kazibwe-sh100m-deal.html")</f>
        <v>http://www.newvision.co.ug/news/392202-government-disowns-kazibwe-sh100m-deal.html</v>
      </c>
    </row>
    <row r="1072" spans="1:4" ht="15">
      <c r="A1072" s="3" t="s">
        <v>498</v>
      </c>
      <c r="B1072" s="4" t="s">
        <v>494</v>
      </c>
      <c r="C1072" s="4" t="s">
        <v>563</v>
      </c>
      <c r="D1072" s="3" t="str">
        <f>HYPERLINK("http://www.newvision.co.ug/news/612136-bravo-govt-on-bududa-victims-resettlement.html")</f>
        <v>http://www.newvision.co.ug/news/612136-bravo-govt-on-bududa-victims-resettlement.html</v>
      </c>
    </row>
    <row r="1073" spans="1:4" ht="15">
      <c r="A1073" s="3" t="s">
        <v>501</v>
      </c>
      <c r="B1073" s="5">
        <v>41921</v>
      </c>
      <c r="C1073" s="4" t="s">
        <v>819</v>
      </c>
      <c r="D1073" s="3" t="str">
        <f>HYPERLINK("http://www.monitor.co.ug/News/National/Rains-affect-harvests-in-Karamoja/-/688334/2447094/-/h25xx6z/-/index.html")</f>
        <v>http://www.monitor.co.ug/News/National/Rains-affect-harvests-in-Karamoja/-/688334/2447094/-/h25xx6z/-/index.html</v>
      </c>
    </row>
    <row r="1074" spans="1:4" ht="15">
      <c r="A1074" s="3" t="s">
        <v>501</v>
      </c>
      <c r="B1074" s="4" t="s">
        <v>61</v>
      </c>
      <c r="C1074" s="4" t="s">
        <v>817</v>
      </c>
      <c r="D1074" s="3" t="str">
        <f>HYPERLINK("http://www.monitor.co.ug/OpEd/OpEdColumnists/AugustineRuzindana/Threats-of-war-over-Nile-waters-are-futile/-/887296/1882216/-/1vtannz/-/index.html")</f>
        <v>http://www.monitor.co.ug/OpEd/OpEdColumnists/AugustineRuzindana/Threats-of-war-over-Nile-waters-are-futile/-/887296/1882216/-/1vtannz/-/index.html</v>
      </c>
    </row>
    <row r="1075" spans="1:4" ht="15">
      <c r="A1075" s="3" t="s">
        <v>502</v>
      </c>
      <c r="B1075" s="5">
        <v>38178</v>
      </c>
      <c r="C1075" s="4" t="s">
        <v>502</v>
      </c>
      <c r="D1075" s="3" t="str">
        <f>HYPERLINK("http://www.newvision.co.ug/news/412314-heavy-rains-flood-nebbi-district.html")</f>
        <v>http://www.newvision.co.ug/news/412314-heavy-rains-flood-nebbi-district.html</v>
      </c>
    </row>
    <row r="1076" spans="1:4" ht="15">
      <c r="A1076" s="3" t="s">
        <v>502</v>
      </c>
      <c r="B1076" s="4" t="s">
        <v>503</v>
      </c>
      <c r="C1076" s="4" t="s">
        <v>445</v>
      </c>
      <c r="D1076" s="3" t="str">
        <f>HYPERLINK("http://www.monitor.co.ug/News/National/-/688334/1258196/-/bhy6k2z/-/index.html")</f>
        <v>http://www.monitor.co.ug/News/National/-/688334/1258196/-/bhy6k2z/-/index.html</v>
      </c>
    </row>
    <row r="1077" spans="1:4" ht="15">
      <c r="A1077" s="3" t="s">
        <v>504</v>
      </c>
      <c r="B1077" s="5">
        <v>40858</v>
      </c>
      <c r="C1077" s="4" t="s">
        <v>759</v>
      </c>
      <c r="D1077" s="3" t="str">
        <f>HYPERLINK("http://www.newvision.co.ug/news/29952-continuous-floods-hit-teso.html")</f>
        <v>http://www.newvision.co.ug/news/29952-continuous-floods-hit-teso.html</v>
      </c>
    </row>
    <row r="1078" spans="1:4" ht="15">
      <c r="A1078" s="3" t="s">
        <v>504</v>
      </c>
      <c r="B1078" s="4" t="s">
        <v>425</v>
      </c>
      <c r="C1078" s="4" t="s">
        <v>553</v>
      </c>
      <c r="D1078" s="3" t="str">
        <f>HYPERLINK("http://www.newvision.co.ug/news/637288-floods-ravage-districts.html")</f>
        <v>http://www.newvision.co.ug/news/637288-floods-ravage-districts.html</v>
      </c>
    </row>
    <row r="1079" spans="1:4" ht="15">
      <c r="A1079" s="3" t="s">
        <v>504</v>
      </c>
      <c r="B1079" s="4" t="s">
        <v>423</v>
      </c>
      <c r="C1079" s="4" t="s">
        <v>764</v>
      </c>
      <c r="D1079" s="3" t="str">
        <f>HYPERLINK("http://www.newvision.co.ug/news/615104-katakwi-district-gets-food-boost.html")</f>
        <v>http://www.newvision.co.ug/news/615104-katakwi-district-gets-food-boost.html</v>
      </c>
    </row>
    <row r="1080" spans="1:4" ht="15">
      <c r="A1080" s="3" t="s">
        <v>504</v>
      </c>
      <c r="B1080" s="4" t="s">
        <v>258</v>
      </c>
      <c r="C1080" s="4" t="s">
        <v>563</v>
      </c>
      <c r="D1080" s="3" t="str">
        <f>HYPERLINK("http://www.monitor.co.ug/News/National/-/688334/1223834/-/bjw4i1z/-/index.html")</f>
        <v>http://www.monitor.co.ug/News/National/-/688334/1223834/-/bjw4i1z/-/index.html</v>
      </c>
    </row>
    <row r="1081" spans="1:4" ht="15">
      <c r="A1081" s="3" t="s">
        <v>504</v>
      </c>
      <c r="B1081" s="4" t="s">
        <v>420</v>
      </c>
      <c r="C1081" s="4" t="s">
        <v>563</v>
      </c>
      <c r="D1081" s="3" t="str">
        <f>HYPERLINK("http://www.newvision.co.ug/news/610345-katakwi-floods-destroy-property-worth-sh10b.html")</f>
        <v>http://www.newvision.co.ug/news/610345-katakwi-floods-destroy-property-worth-sh10b.html</v>
      </c>
    </row>
    <row r="1082" spans="1:4" ht="15">
      <c r="A1082" s="3" t="s">
        <v>504</v>
      </c>
      <c r="B1082" s="4" t="s">
        <v>418</v>
      </c>
      <c r="C1082" s="4" t="s">
        <v>128</v>
      </c>
      <c r="D1082" s="3" t="str">
        <f>HYPERLINK("http://www.monitor.co.ug/News/National/-/688334/1010284/-/cnqcenz/-/index.html")</f>
        <v>http://www.monitor.co.ug/News/National/-/688334/1010284/-/cnqcenz/-/index.html</v>
      </c>
    </row>
    <row r="1083" spans="1:4" ht="15">
      <c r="A1083" s="3" t="s">
        <v>504</v>
      </c>
      <c r="B1083" s="4" t="s">
        <v>5</v>
      </c>
      <c r="C1083" s="4" t="s">
        <v>563</v>
      </c>
      <c r="D1083" s="3" t="str">
        <f>HYPERLINK("http://www.monitor.co.ug/News/National/-/688334/1223540/-/bjw6tmz/-/index.html")</f>
        <v>http://www.monitor.co.ug/News/National/-/688334/1223540/-/bjw6tmz/-/index.html</v>
      </c>
    </row>
    <row r="1084" spans="1:4" ht="15">
      <c r="A1084" s="3" t="s">
        <v>505</v>
      </c>
      <c r="B1084" s="4" t="s">
        <v>168</v>
      </c>
      <c r="C1084" s="4" t="s">
        <v>505</v>
      </c>
      <c r="D1084" s="3" t="str">
        <f>HYPERLINK("http://www.monitor.co.ug/News/National/-/688334/754428/-/vxux2j/-/index.html")</f>
        <v>http://www.monitor.co.ug/News/National/-/688334/754428/-/vxux2j/-/index.html</v>
      </c>
    </row>
    <row r="1085" spans="1:4" ht="15">
      <c r="A1085" s="3" t="s">
        <v>506</v>
      </c>
      <c r="B1085" s="5">
        <v>40455</v>
      </c>
      <c r="C1085" s="4" t="s">
        <v>603</v>
      </c>
      <c r="D1085" s="3" t="str">
        <f>HYPERLINK("http://www.monitor.co.ug/OpEd/Commentary/-/689364/895956/-/agds9yz/-/index.html")</f>
        <v>http://www.monitor.co.ug/OpEd/Commentary/-/689364/895956/-/agds9yz/-/index.html</v>
      </c>
    </row>
    <row r="1086" spans="1:4" ht="15">
      <c r="A1086" s="3" t="s">
        <v>507</v>
      </c>
      <c r="B1086" s="5">
        <v>39212</v>
      </c>
      <c r="C1086" s="4" t="s">
        <v>635</v>
      </c>
      <c r="D1086" s="3" t="str">
        <f>HYPERLINK("http://www.monitor.co.ug/News/-/688324/793252/-/bpum7p/-/index.html")</f>
        <v>http://www.monitor.co.ug/News/-/688324/793252/-/bpum7p/-/index.html</v>
      </c>
    </row>
    <row r="1087" spans="1:4" ht="15">
      <c r="A1087" s="3" t="s">
        <v>507</v>
      </c>
      <c r="B1087" s="5">
        <v>39456</v>
      </c>
      <c r="C1087" s="4" t="s">
        <v>128</v>
      </c>
      <c r="D1087" s="3" t="str">
        <f>HYPERLINK("http://www.monitor.co.ug/News/Education/-/688336/749032/-/10fp4n1/-/index.html")</f>
        <v>http://www.monitor.co.ug/News/Education/-/688336/749032/-/10fp4n1/-/index.html</v>
      </c>
    </row>
    <row r="1088" spans="1:4" ht="15">
      <c r="A1088" s="3" t="s">
        <v>507</v>
      </c>
      <c r="B1088" s="5">
        <v>40212</v>
      </c>
      <c r="C1088" s="4" t="s">
        <v>604</v>
      </c>
      <c r="D1088" s="3" t="str">
        <f>HYPERLINK("http://www.monitor.co.ug/News/National/-/688334/871634/-/wj4p83/-/index.html")</f>
        <v>http://www.monitor.co.ug/News/National/-/688334/871634/-/wj4p83/-/index.html</v>
      </c>
    </row>
    <row r="1089" spans="1:4" ht="15">
      <c r="A1089" s="3" t="s">
        <v>507</v>
      </c>
      <c r="B1089" s="5">
        <v>40275</v>
      </c>
      <c r="C1089" s="4" t="s">
        <v>732</v>
      </c>
      <c r="D1089" s="3" t="str">
        <f>HYPERLINK("http://www.newvision.co.ug/news/615830-floods-retarding-border-demarcation.html")</f>
        <v>http://www.newvision.co.ug/news/615830-floods-retarding-border-demarcation.html</v>
      </c>
    </row>
    <row r="1090" spans="1:4" ht="15">
      <c r="A1090" s="3" t="s">
        <v>507</v>
      </c>
      <c r="B1090" s="5">
        <v>40703</v>
      </c>
      <c r="C1090" s="4" t="s">
        <v>781</v>
      </c>
      <c r="D1090" s="3" t="str">
        <f>HYPERLINK("http://www.monitor.co.ug/News/National/-/688334/1231066/-/bjc5g0z/-/index.html")</f>
        <v>http://www.monitor.co.ug/News/National/-/688334/1231066/-/bjc5g0z/-/index.html</v>
      </c>
    </row>
    <row r="1091" spans="1:4" ht="15">
      <c r="A1091" s="3" t="s">
        <v>507</v>
      </c>
      <c r="B1091" s="5">
        <v>40946</v>
      </c>
      <c r="C1091" s="4" t="s">
        <v>615</v>
      </c>
      <c r="D1091" s="3" t="str">
        <f>HYPERLINK("http://www.newvision.co.ug/news/632534-cholera-cripples-bududa-one-week-after-landslide.html")</f>
        <v>http://www.newvision.co.ug/news/632534-cholera-cripples-bududa-one-week-after-landslide.html</v>
      </c>
    </row>
    <row r="1092" spans="1:4" ht="15">
      <c r="A1092" s="3" t="s">
        <v>507</v>
      </c>
      <c r="B1092" s="5">
        <v>41368</v>
      </c>
      <c r="C1092" s="4" t="s">
        <v>612</v>
      </c>
      <c r="D1092" s="3" t="str">
        <f>HYPERLINK("http://www.newvision.co.ug/news/641320-bugisu-sub-region.html")</f>
        <v>http://www.newvision.co.ug/news/641320-bugisu-sub-region.html</v>
      </c>
    </row>
    <row r="1093" spans="1:4" ht="15">
      <c r="A1093" s="3" t="s">
        <v>507</v>
      </c>
      <c r="B1093" s="5">
        <v>41400</v>
      </c>
      <c r="C1093" s="4" t="s">
        <v>128</v>
      </c>
      <c r="D1093" s="3" t="str">
        <f>HYPERLINK("http://www.monitor.co.ug/News/National/EC-gives-guidelines-for-Butebo-election/-/688334/1872444/-/nyfw7p/-/index.html")</f>
        <v>http://www.monitor.co.ug/News/National/EC-gives-guidelines-for-Butebo-election/-/688334/1872444/-/nyfw7p/-/index.html</v>
      </c>
    </row>
    <row r="1094" spans="1:4" ht="15">
      <c r="A1094" s="3" t="s">
        <v>507</v>
      </c>
      <c r="B1094" s="5">
        <v>41436</v>
      </c>
      <c r="C1094" s="4" t="s">
        <v>776</v>
      </c>
      <c r="D1094" s="3" t="str">
        <f>HYPERLINK("http://www.monitor.co.ug/Magazines/Farming/Pallisa-farmers-petition-government-over-low-agriculture-cash/-/689860/2061454/-/gaxd8w/-/index.html")</f>
        <v>http://www.monitor.co.ug/Magazines/Farming/Pallisa-farmers-petition-government-over-low-agriculture-cash/-/689860/2061454/-/gaxd8w/-/index.html</v>
      </c>
    </row>
    <row r="1095" spans="1:4" ht="15">
      <c r="A1095" s="3" t="s">
        <v>507</v>
      </c>
      <c r="B1095" s="5">
        <v>41522</v>
      </c>
      <c r="C1095" s="4" t="s">
        <v>782</v>
      </c>
      <c r="D1095" s="3" t="str">
        <f>HYPERLINK("http://www.newvision.co.ug/news/642509-floods-paralyze-business-in-kibuku.html")</f>
        <v>http://www.newvision.co.ug/news/642509-floods-paralyze-business-in-kibuku.html</v>
      </c>
    </row>
    <row r="1096" spans="1:4" ht="15">
      <c r="A1096" s="3" t="s">
        <v>507</v>
      </c>
      <c r="B1096" s="4" t="s">
        <v>338</v>
      </c>
      <c r="C1096" s="4" t="s">
        <v>586</v>
      </c>
      <c r="D1096" s="3" t="str">
        <f>HYPERLINK("http://www.newvision.co.ug/news/642641-flood-devastation-in-pictures.html")</f>
        <v>http://www.newvision.co.ug/news/642641-flood-devastation-in-pictures.html</v>
      </c>
    </row>
    <row r="1097" spans="1:4" ht="15">
      <c r="A1097" s="3" t="s">
        <v>507</v>
      </c>
      <c r="B1097" s="4" t="s">
        <v>117</v>
      </c>
      <c r="C1097" s="4" t="s">
        <v>692</v>
      </c>
      <c r="D1097" s="3" t="str">
        <f>HYPERLINK("http://www.monitor.co.ug/artsculture/Religion/-/689744/1368094/-/h36oru/-/index.html")</f>
        <v>http://www.monitor.co.ug/artsculture/Religion/-/689744/1368094/-/h36oru/-/index.html</v>
      </c>
    </row>
    <row r="1098" spans="1:4" ht="15">
      <c r="A1098" s="3" t="s">
        <v>507</v>
      </c>
      <c r="B1098" s="4" t="s">
        <v>14</v>
      </c>
      <c r="C1098" s="4" t="s">
        <v>534</v>
      </c>
      <c r="D1098" s="3" t="str">
        <f>HYPERLINK("http://www.monitor.co.ug/News/National/Pupils--teachers-flee-as-school-is-closed/-/688334/1756478/-/pmvk40/-/index.html")</f>
        <v>http://www.monitor.co.ug/News/National/Pupils--teachers-flee-as-school-is-closed/-/688334/1756478/-/pmvk40/-/index.html</v>
      </c>
    </row>
    <row r="1099" spans="1:4" ht="15">
      <c r="A1099" s="3" t="s">
        <v>507</v>
      </c>
      <c r="B1099" s="4" t="s">
        <v>508</v>
      </c>
      <c r="C1099" s="4" t="s">
        <v>688</v>
      </c>
      <c r="D1099" s="3" t="str">
        <f>HYPERLINK("http://www.monitor.co.ug/artsculture/Reviews/When-political-Seats-become-a-family-affair/-/691232/1758068/-/13o0vjdz/-/index.html")</f>
        <v>http://www.monitor.co.ug/artsculture/Reviews/When-political-Seats-become-a-family-affair/-/691232/1758068/-/13o0vjdz/-/index.html</v>
      </c>
    </row>
    <row r="1100" spans="1:4" ht="15">
      <c r="A1100" s="3" t="s">
        <v>507</v>
      </c>
      <c r="B1100" s="4" t="s">
        <v>100</v>
      </c>
      <c r="C1100" s="4" t="s">
        <v>128</v>
      </c>
      <c r="D1100" s="3" t="str">
        <f>HYPERLINK("http://www.monitor.co.ug/OpEd/OpEdColumnists/CharlesOnyangoObbo/-/878504/1080060/-/gowkot/-/index.html")</f>
        <v>http://www.monitor.co.ug/OpEd/OpEdColumnists/CharlesOnyangoObbo/-/878504/1080060/-/gowkot/-/index.html</v>
      </c>
    </row>
    <row r="1101" spans="1:4" ht="15">
      <c r="A1101" s="3" t="s">
        <v>509</v>
      </c>
      <c r="B1101" s="5">
        <v>38232</v>
      </c>
      <c r="C1101" s="4" t="s">
        <v>128</v>
      </c>
      <c r="D1101" s="3" t="str">
        <f>HYPERLINK("http://www.monitor.co.ug/SpecialReports/WarMemories/-/859092/858444/-/4a7f64z/-/index.html")</f>
        <v>http://www.monitor.co.ug/SpecialReports/WarMemories/-/859092/858444/-/4a7f64z/-/index.html</v>
      </c>
    </row>
    <row r="1102" spans="1:4" ht="15">
      <c r="A1102" s="3" t="s">
        <v>509</v>
      </c>
      <c r="B1102" s="5">
        <v>41522</v>
      </c>
      <c r="C1102" s="4" t="s">
        <v>821</v>
      </c>
      <c r="D1102" s="3" t="str">
        <f>HYPERLINK("http://www.monitor.co.ug/News/National/Floods-seal-off-Rakai-residents/-/688334/1846540/-/mdpq6f/-/index.html")</f>
        <v>http://www.monitor.co.ug/News/National/Floods-seal-off-Rakai-residents/-/688334/1846540/-/mdpq6f/-/index.html</v>
      </c>
    </row>
    <row r="1103" spans="1:4" ht="15">
      <c r="A1103" s="3" t="s">
        <v>509</v>
      </c>
      <c r="B1103" s="5">
        <v>41859</v>
      </c>
      <c r="C1103" s="4" t="s">
        <v>563</v>
      </c>
      <c r="D1103" s="3" t="str">
        <f>HYPERLINK("http://www.monitor.co.ug/News/National/MPs-accuse-OPM-of-diverting-flood-victims-cash/-/688334/2411904/-/14b1sdwz/-/index.html")</f>
        <v>http://www.monitor.co.ug/News/National/MPs-accuse-OPM-of-diverting-flood-victims-cash/-/688334/2411904/-/14b1sdwz/-/index.html</v>
      </c>
    </row>
    <row r="1104" spans="1:4" ht="15">
      <c r="A1104" s="3" t="s">
        <v>509</v>
      </c>
      <c r="B1104" s="4" t="s">
        <v>510</v>
      </c>
      <c r="C1104" s="4" t="s">
        <v>821</v>
      </c>
      <c r="D1104" s="3" t="str">
        <f>HYPERLINK("http://www.newvision.co.ug/news/396340-rakai-leaders-appeal-over-kasensero-road.html")</f>
        <v>http://www.newvision.co.ug/news/396340-rakai-leaders-appeal-over-kasensero-road.html</v>
      </c>
    </row>
    <row r="1105" spans="1:4" ht="15">
      <c r="A1105" s="3" t="s">
        <v>509</v>
      </c>
      <c r="B1105" s="4" t="s">
        <v>510</v>
      </c>
      <c r="C1105" s="4" t="s">
        <v>821</v>
      </c>
      <c r="D1105" s="3" t="str">
        <f>HYPERLINK("http://www.newvision.co.ug/news/370760-rakai-leaders-appeal-over-kasensero-road.html")</f>
        <v>http://www.newvision.co.ug/news/370760-rakai-leaders-appeal-over-kasensero-road.html</v>
      </c>
    </row>
    <row r="1106" spans="1:4" ht="15">
      <c r="A1106" s="3" t="s">
        <v>511</v>
      </c>
      <c r="B1106" s="5">
        <v>40246</v>
      </c>
      <c r="C1106" s="4" t="s">
        <v>128</v>
      </c>
      <c r="D1106" s="3" t="str">
        <f>HYPERLINK("http://www.monitor.co.ug/News/National/-/688334/1002718/-/cobdwfz/-/index.html")</f>
        <v>http://www.monitor.co.ug/News/National/-/688334/1002718/-/cobdwfz/-/index.html</v>
      </c>
    </row>
    <row r="1107" spans="1:4" ht="15">
      <c r="A1107" s="3" t="s">
        <v>511</v>
      </c>
      <c r="B1107" s="5">
        <v>41278</v>
      </c>
      <c r="C1107" s="4" t="s">
        <v>811</v>
      </c>
      <c r="D1107" s="3" t="str">
        <f>HYPERLINK("http://www.newvision.co.ug/news/641217-floods-ravage-kisoro-over-150-families-displaced.html")</f>
        <v>http://www.newvision.co.ug/news/641217-floods-ravage-kisoro-over-150-families-displaced.html</v>
      </c>
    </row>
    <row r="1108" spans="1:4" ht="15">
      <c r="A1108" s="3" t="s">
        <v>511</v>
      </c>
      <c r="B1108" s="4" t="s">
        <v>102</v>
      </c>
      <c r="C1108" s="4" t="s">
        <v>563</v>
      </c>
      <c r="D1108" s="3" t="str">
        <f>HYPERLINK("http://www.newvision.co.ug/news/315850-three-die-as-landslides-hit-kisoro.html")</f>
        <v>http://www.newvision.co.ug/news/315850-three-die-as-landslides-hit-kisoro.html</v>
      </c>
    </row>
    <row r="1109" spans="1:4" ht="15">
      <c r="A1109" s="3" t="s">
        <v>511</v>
      </c>
      <c r="B1109" s="4" t="s">
        <v>103</v>
      </c>
      <c r="C1109" s="4" t="s">
        <v>563</v>
      </c>
      <c r="D1109" s="3" t="str">
        <f>HYPERLINK("http://www.newvision.co.ug/news/1085-three-die-as-landslides-hit-kisoro.html")</f>
        <v>http://www.newvision.co.ug/news/1085-three-die-as-landslides-hit-kisoro.html</v>
      </c>
    </row>
    <row r="1110" spans="1:4" ht="15">
      <c r="A1110" s="3" t="s">
        <v>511</v>
      </c>
      <c r="B1110" s="4" t="s">
        <v>267</v>
      </c>
      <c r="C1110" s="4" t="s">
        <v>94</v>
      </c>
      <c r="D1110" s="3" t="str">
        <f>HYPERLINK("http://www.newvision.co.ug/news/315569-kisoro-kirundo-road-cleared.html")</f>
        <v>http://www.newvision.co.ug/news/315569-kisoro-kirundo-road-cleared.html</v>
      </c>
    </row>
    <row r="1111" spans="1:4" ht="15">
      <c r="A1111" s="3" t="s">
        <v>511</v>
      </c>
      <c r="B1111" s="4" t="s">
        <v>267</v>
      </c>
      <c r="C1111" s="4" t="s">
        <v>94</v>
      </c>
      <c r="D1111" s="3" t="str">
        <f>HYPERLINK("http://www.newvision.co.ug/news/804-kisoro-kirundo-road-cleared.html")</f>
        <v>http://www.newvision.co.ug/news/804-kisoro-kirundo-road-cleared.html</v>
      </c>
    </row>
    <row r="1112" spans="1:4" ht="15">
      <c r="A1112" s="3" t="s">
        <v>511</v>
      </c>
      <c r="B1112" s="4" t="s">
        <v>512</v>
      </c>
      <c r="C1112" s="4" t="s">
        <v>603</v>
      </c>
      <c r="D1112" s="3" t="str">
        <f>HYPERLINK("http://www.newvision.co.ug/news/322350-relocate-a-forest-werike-is-a-very-brilliant-minister.html")</f>
        <v>http://www.newvision.co.ug/news/322350-relocate-a-forest-werike-is-a-very-brilliant-minister.html</v>
      </c>
    </row>
    <row r="1113" spans="1:4" ht="15">
      <c r="A1113" s="3" t="s">
        <v>511</v>
      </c>
      <c r="B1113" s="4" t="s">
        <v>478</v>
      </c>
      <c r="C1113" s="4" t="s">
        <v>603</v>
      </c>
      <c r="D1113" s="3" t="str">
        <f>HYPERLINK("http://www.monitor.co.ug/News/National/-/688334/1134194/-/c3crd6z/-/index.html")</f>
        <v>http://www.monitor.co.ug/News/National/-/688334/1134194/-/c3crd6z/-/index.html</v>
      </c>
    </row>
    <row r="1114" spans="1:4" ht="15">
      <c r="A1114" s="3" t="s">
        <v>511</v>
      </c>
      <c r="B1114" s="4" t="s">
        <v>406</v>
      </c>
      <c r="C1114" s="4" t="s">
        <v>726</v>
      </c>
      <c r="D1114" s="3" t="str">
        <f>HYPERLINK("http://www.monitor.co.ug/News/Education/-/688336/755246/-/10g8wuk/-/index.html")</f>
        <v>http://www.monitor.co.ug/News/Education/-/688336/755246/-/10g8wuk/-/index.html</v>
      </c>
    </row>
    <row r="1115" spans="1:4" ht="15">
      <c r="A1115" s="3" t="s">
        <v>513</v>
      </c>
      <c r="B1115" s="5">
        <v>41155</v>
      </c>
      <c r="C1115" s="4" t="s">
        <v>128</v>
      </c>
      <c r="D1115" s="3" t="str">
        <f>HYPERLINK("http://www.monitor.co.ug/artsculture/Reviews/-/691232/1363070/-/c77b4/-/index.html")</f>
        <v>http://www.monitor.co.ug/artsculture/Reviews/-/691232/1363070/-/c77b4/-/index.html</v>
      </c>
    </row>
    <row r="1116" spans="1:4" ht="15">
      <c r="A1116" s="3" t="s">
        <v>513</v>
      </c>
      <c r="B1116" s="4" t="s">
        <v>83</v>
      </c>
      <c r="C1116" s="4" t="s">
        <v>728</v>
      </c>
      <c r="D1116" s="3" t="str">
        <f>HYPERLINK("http://www.monitor.co.ug/OpEd/OpEdColumnists/YasiinMugerwa/-/878670/1203028/-/4h0rt9/-/index.html")</f>
        <v>http://www.monitor.co.ug/OpEd/OpEdColumnists/YasiinMugerwa/-/878670/1203028/-/4h0rt9/-/index.html</v>
      </c>
    </row>
    <row r="1117" spans="1:4" ht="15">
      <c r="A1117" s="3" t="s">
        <v>513</v>
      </c>
      <c r="B1117" s="4" t="s">
        <v>273</v>
      </c>
      <c r="C1117" s="4" t="s">
        <v>728</v>
      </c>
      <c r="D1117" s="3" t="str">
        <f>HYPERLINK("http://www.monitor.co.ug/News/National/-/688334/1275938/-/bgs0ljz/-/index.html")</f>
        <v>http://www.monitor.co.ug/News/National/-/688334/1275938/-/bgs0ljz/-/index.html</v>
      </c>
    </row>
    <row r="1118" spans="1:4" ht="15">
      <c r="A1118" s="3" t="s">
        <v>513</v>
      </c>
      <c r="B1118" s="4" t="s">
        <v>514</v>
      </c>
      <c r="C1118" s="4" t="s">
        <v>550</v>
      </c>
      <c r="D1118" s="3" t="str">
        <f>HYPERLINK("http://www.monitor.co.ug/News/National/-/688334/1281162/-/bg9f73z/-/index.html")</f>
        <v>http://www.monitor.co.ug/News/National/-/688334/1281162/-/bg9f73z/-/index.html</v>
      </c>
    </row>
    <row r="1119" spans="1:4" ht="15">
      <c r="A1119" s="3" t="s">
        <v>515</v>
      </c>
      <c r="B1119" s="5">
        <v>40215</v>
      </c>
      <c r="C1119" s="4" t="s">
        <v>563</v>
      </c>
      <c r="D1119" s="3" t="str">
        <f>HYPERLINK("http://www.newvision.co.ug/news/617967-floods-cause-soils-to-turn-yellow.html")</f>
        <v>http://www.newvision.co.ug/news/617967-floods-cause-soils-to-turn-yellow.html</v>
      </c>
    </row>
    <row r="1120" spans="1:4" ht="15">
      <c r="A1120" s="3" t="s">
        <v>515</v>
      </c>
      <c r="B1120" s="5">
        <v>40240</v>
      </c>
      <c r="C1120" s="4" t="s">
        <v>603</v>
      </c>
      <c r="D1120" s="3" t="str">
        <f>HYPERLINK("http://www.monitor.co.ug/News/National/-/688334/872190/-/wj5ar6/-/index.html")</f>
        <v>http://www.monitor.co.ug/News/National/-/688334/872190/-/wj5ar6/-/index.html</v>
      </c>
    </row>
    <row r="1121" spans="1:4" ht="15">
      <c r="A1121" s="3" t="s">
        <v>515</v>
      </c>
      <c r="B1121" s="5">
        <v>40271</v>
      </c>
      <c r="C1121" s="4" t="s">
        <v>603</v>
      </c>
      <c r="D1121" s="3" t="str">
        <f>HYPERLINK("http://www.monitor.co.ug/News/National/-/688334/872820/-/wj5g36/-/index.html")</f>
        <v>http://www.monitor.co.ug/News/National/-/688334/872820/-/wj5g36/-/index.html</v>
      </c>
    </row>
    <row r="1122" spans="1:4" ht="15">
      <c r="A1122" s="3" t="s">
        <v>515</v>
      </c>
      <c r="B1122" s="5">
        <v>40362</v>
      </c>
      <c r="C1122" s="4" t="s">
        <v>603</v>
      </c>
      <c r="D1122" s="3" t="str">
        <f>HYPERLINK("http://www.monitor.co.ug/Magazines/PeoplePower/-/689844/874524/-/5a092t/-/index.html")</f>
        <v>http://www.monitor.co.ug/Magazines/PeoplePower/-/689844/874524/-/5a092t/-/index.html</v>
      </c>
    </row>
    <row r="1123" spans="1:4" ht="15">
      <c r="A1123" s="3" t="s">
        <v>515</v>
      </c>
      <c r="B1123" s="5">
        <v>40364</v>
      </c>
      <c r="C1123" s="4" t="s">
        <v>603</v>
      </c>
      <c r="D1123" s="3" t="str">
        <f>HYPERLINK("http://www.newvision.co.ug/news/619707-land-disputes-disrupt-bududa-resettlement.html")</f>
        <v>http://www.newvision.co.ug/news/619707-land-disputes-disrupt-bududa-resettlement.html</v>
      </c>
    </row>
    <row r="1124" spans="1:4" ht="15">
      <c r="A1124" s="3" t="s">
        <v>515</v>
      </c>
      <c r="B1124" s="5">
        <v>40492</v>
      </c>
      <c r="C1124" s="4" t="s">
        <v>603</v>
      </c>
      <c r="D1124" s="3" t="str">
        <f>HYPERLINK("http://www.newvision.co.ug/news/609176-farmers-need-crops-that-can-withstand-floods.html")</f>
        <v>http://www.newvision.co.ug/news/609176-farmers-need-crops-that-can-withstand-floods.html</v>
      </c>
    </row>
    <row r="1125" spans="1:4" ht="15">
      <c r="A1125" s="3" t="s">
        <v>515</v>
      </c>
      <c r="B1125" s="5">
        <v>40552</v>
      </c>
      <c r="C1125" s="4" t="s">
        <v>563</v>
      </c>
      <c r="D1125" s="3" t="str">
        <f>HYPERLINK("http://www.newvision.co.ug/news/316656-relief-trickling-in-for-landslide-victims.html")</f>
        <v>http://www.newvision.co.ug/news/316656-relief-trickling-in-for-landslide-victims.html</v>
      </c>
    </row>
    <row r="1126" spans="1:4" ht="15">
      <c r="A1126" s="3" t="s">
        <v>515</v>
      </c>
      <c r="B1126" s="5">
        <v>40552</v>
      </c>
      <c r="C1126" s="4" t="s">
        <v>563</v>
      </c>
      <c r="D1126" s="3" t="str">
        <f>HYPERLINK("http://www.monitor.co.ug/News/National/-/688334/1228636/-/bjsoh1z/-/index.html")</f>
        <v>http://www.monitor.co.ug/News/National/-/688334/1228636/-/bjsoh1z/-/index.html</v>
      </c>
    </row>
    <row r="1127" spans="1:4" ht="15">
      <c r="A1127" s="3" t="s">
        <v>515</v>
      </c>
      <c r="B1127" s="5">
        <v>40552</v>
      </c>
      <c r="C1127" s="4" t="s">
        <v>563</v>
      </c>
      <c r="D1127" s="3" t="str">
        <f>HYPERLINK("http://www.monitor.co.ug/News/National/-/688334/1228734/-/bjsnomz/-/index.html")</f>
        <v>http://www.monitor.co.ug/News/National/-/688334/1228734/-/bjsnomz/-/index.html</v>
      </c>
    </row>
    <row r="1128" spans="1:4" ht="15">
      <c r="A1128" s="3" t="s">
        <v>515</v>
      </c>
      <c r="B1128" s="5">
        <v>40583</v>
      </c>
      <c r="C1128" s="4" t="s">
        <v>740</v>
      </c>
      <c r="D1128" s="3" t="str">
        <f>HYPERLINK("http://www.monitor.co.ug/News/National/-/688334/1229170/-/bjs3yrz/-/index.html")</f>
        <v>http://www.monitor.co.ug/News/National/-/688334/1229170/-/bjs3yrz/-/index.html</v>
      </c>
    </row>
    <row r="1129" spans="1:4" ht="15">
      <c r="A1129" s="3" t="s">
        <v>515</v>
      </c>
      <c r="B1129" s="5">
        <v>40584</v>
      </c>
      <c r="C1129" s="4" t="s">
        <v>746</v>
      </c>
      <c r="D1129" s="3" t="str">
        <f>HYPERLINK("http://www.monitor.co.ug/News/National/-/688334/1246092/-/bim4vaz/-/index.html")</f>
        <v>http://www.monitor.co.ug/News/National/-/688334/1246092/-/bim4vaz/-/index.html</v>
      </c>
    </row>
    <row r="1130" spans="1:4" ht="15">
      <c r="A1130" s="3" t="s">
        <v>515</v>
      </c>
      <c r="B1130" s="5">
        <v>40611</v>
      </c>
      <c r="C1130" s="4" t="s">
        <v>740</v>
      </c>
      <c r="D1130" s="3" t="str">
        <f>HYPERLINK("http://www.monitor.co.ug/News/National/-/688334/1229616/-/bjs07mz/-/index.html")</f>
        <v>http://www.monitor.co.ug/News/National/-/688334/1229616/-/bjs07mz/-/index.html</v>
      </c>
    </row>
    <row r="1131" spans="1:4" ht="15">
      <c r="A1131" s="3" t="s">
        <v>515</v>
      </c>
      <c r="B1131" s="5">
        <v>40644</v>
      </c>
      <c r="C1131" s="4" t="s">
        <v>747</v>
      </c>
      <c r="D1131" s="3" t="str">
        <f>HYPERLINK("http://www.newvision.co.ug/news/18916-cracks-develop-in-bulambuli-residents-appeal-to-gov-t.html")</f>
        <v>http://www.newvision.co.ug/news/18916-cracks-develop-in-bulambuli-residents-appeal-to-gov-t.html</v>
      </c>
    </row>
    <row r="1132" spans="1:4" ht="15">
      <c r="A1132" s="3" t="s">
        <v>515</v>
      </c>
      <c r="B1132" s="5">
        <v>40672</v>
      </c>
      <c r="C1132" s="4" t="s">
        <v>603</v>
      </c>
      <c r="D1132" s="3" t="str">
        <f>HYPERLINK("http://www.monitor.co.ug/artsculture/Reviews/-/691232/1230368/-/8r5pdz/-/index.html")</f>
        <v>http://www.monitor.co.ug/artsculture/Reviews/-/691232/1230368/-/8r5pdz/-/index.html</v>
      </c>
    </row>
    <row r="1133" spans="1:4" ht="15">
      <c r="A1133" s="3" t="s">
        <v>515</v>
      </c>
      <c r="B1133" s="5">
        <v>40672</v>
      </c>
      <c r="C1133" s="4" t="s">
        <v>128</v>
      </c>
      <c r="D1133" s="3" t="str">
        <f>HYPERLINK("http://www.newvision.co.ug/news/1800-news-in-brief.html")</f>
        <v>http://www.newvision.co.ug/news/1800-news-in-brief.html</v>
      </c>
    </row>
    <row r="1134" spans="1:4" ht="15">
      <c r="A1134" s="3" t="s">
        <v>515</v>
      </c>
      <c r="B1134" s="5">
        <v>40672</v>
      </c>
      <c r="C1134" s="4" t="s">
        <v>128</v>
      </c>
      <c r="D1134" s="3" t="str">
        <f>HYPERLINK("http://www.newvision.co.ug/news/316565-news-in-brief.html")</f>
        <v>http://www.newvision.co.ug/news/316565-news-in-brief.html</v>
      </c>
    </row>
    <row r="1135" spans="1:4" ht="15">
      <c r="A1135" s="3" t="s">
        <v>515</v>
      </c>
      <c r="B1135" s="5">
        <v>40672</v>
      </c>
      <c r="C1135" s="4" t="s">
        <v>563</v>
      </c>
      <c r="D1135" s="3" t="str">
        <f>HYPERLINK("http://www.monitor.co.ug/OpEd/Commentary/-/689364/1230436/-/12rjaaoz/-/index.html")</f>
        <v>http://www.monitor.co.ug/OpEd/Commentary/-/689364/1230436/-/12rjaaoz/-/index.html</v>
      </c>
    </row>
    <row r="1136" spans="1:4" ht="15">
      <c r="A1136" s="3" t="s">
        <v>515</v>
      </c>
      <c r="B1136" s="5">
        <v>40672</v>
      </c>
      <c r="C1136" s="4" t="s">
        <v>563</v>
      </c>
      <c r="D1136" s="3" t="str">
        <f>HYPERLINK("http://www.monitor.co.ug/News/National/-/688334/1230460/-/bjcqmiz/-/index.html")</f>
        <v>http://www.monitor.co.ug/News/National/-/688334/1230460/-/bjcqmiz/-/index.html</v>
      </c>
    </row>
    <row r="1137" spans="1:4" ht="15">
      <c r="A1137" s="3" t="s">
        <v>515</v>
      </c>
      <c r="B1137" s="5">
        <v>40674</v>
      </c>
      <c r="C1137" s="4" t="s">
        <v>748</v>
      </c>
      <c r="D1137" s="3" t="str">
        <f>HYPERLINK("http://www.monitor.co.ug/News/National/-/688334/1267388/-/bhdaftz/-/index.html")</f>
        <v>http://www.monitor.co.ug/News/National/-/688334/1267388/-/bhdaftz/-/index.html</v>
      </c>
    </row>
    <row r="1138" spans="1:4" ht="15">
      <c r="A1138" s="3" t="s">
        <v>515</v>
      </c>
      <c r="B1138" s="5">
        <v>40733</v>
      </c>
      <c r="C1138" s="4" t="s">
        <v>602</v>
      </c>
      <c r="D1138" s="3" t="str">
        <f>HYPERLINK("http://www.monitor.co.ug/News/National/-/688334/1231660/-/bjc0qfz/-/index.html")</f>
        <v>http://www.monitor.co.ug/News/National/-/688334/1231660/-/bjc0qfz/-/index.html</v>
      </c>
    </row>
    <row r="1139" spans="1:4" ht="15">
      <c r="A1139" s="3" t="s">
        <v>515</v>
      </c>
      <c r="B1139" s="5">
        <v>40733</v>
      </c>
      <c r="C1139" s="4" t="s">
        <v>743</v>
      </c>
      <c r="D1139" s="3" t="str">
        <f>HYPERLINK("http://www.newvision.co.ug/news/316412-landslides-destroy-coffee.html")</f>
        <v>http://www.newvision.co.ug/news/316412-landslides-destroy-coffee.html</v>
      </c>
    </row>
    <row r="1140" spans="1:4" ht="15">
      <c r="A1140" s="3" t="s">
        <v>515</v>
      </c>
      <c r="B1140" s="5">
        <v>40733</v>
      </c>
      <c r="C1140" s="4" t="s">
        <v>743</v>
      </c>
      <c r="D1140" s="3" t="str">
        <f>HYPERLINK("http://www.newvision.co.ug/news/1647-landslides-destroy-coffee.html")</f>
        <v>http://www.newvision.co.ug/news/1647-landslides-destroy-coffee.html</v>
      </c>
    </row>
    <row r="1141" spans="1:4" ht="15">
      <c r="A1141" s="3" t="s">
        <v>515</v>
      </c>
      <c r="B1141" s="5">
        <v>40733</v>
      </c>
      <c r="C1141" s="4" t="s">
        <v>558</v>
      </c>
      <c r="D1141" s="3" t="str">
        <f>HYPERLINK("http://www.monitor.co.ug/News/National/-/688334/1231662/-/bjc0qdz/-/index.html")</f>
        <v>http://www.monitor.co.ug/News/National/-/688334/1231662/-/bjc0qdz/-/index.html</v>
      </c>
    </row>
    <row r="1142" spans="1:4" ht="15">
      <c r="A1142" s="3" t="s">
        <v>515</v>
      </c>
      <c r="B1142" s="5">
        <v>40795</v>
      </c>
      <c r="C1142" s="4" t="s">
        <v>740</v>
      </c>
      <c r="D1142" s="3" t="str">
        <f>HYPERLINK("http://www.monitor.co.ug/OpEd/Commentary/-/689364/1232828/-/12rhsjcz/-/index.html")</f>
        <v>http://www.monitor.co.ug/OpEd/Commentary/-/689364/1232828/-/12rhsjcz/-/index.html</v>
      </c>
    </row>
    <row r="1143" spans="1:4" ht="15">
      <c r="A1143" s="3" t="s">
        <v>515</v>
      </c>
      <c r="B1143" s="5">
        <v>40851</v>
      </c>
      <c r="C1143" s="4" t="s">
        <v>128</v>
      </c>
      <c r="D1143" s="3" t="str">
        <f>HYPERLINK("http://www.monitor.co.ug/News/National/-/688334/1142434/-/c2rjw5z/-/index.html")</f>
        <v>http://www.monitor.co.ug/News/National/-/688334/1142434/-/c2rjw5z/-/index.html</v>
      </c>
    </row>
    <row r="1144" spans="1:4" ht="15">
      <c r="A1144" s="3" t="s">
        <v>515</v>
      </c>
      <c r="B1144" s="5">
        <v>40857</v>
      </c>
      <c r="C1144" s="4" t="s">
        <v>603</v>
      </c>
      <c r="D1144" s="3" t="str">
        <f>HYPERLINK("http://www.monitor.co.ug/News/National/-/688334/1253434/-/bi2kxwz/-/index.html")</f>
        <v>http://www.monitor.co.ug/News/National/-/688334/1253434/-/bi2kxwz/-/index.html</v>
      </c>
    </row>
    <row r="1145" spans="1:4" ht="15">
      <c r="A1145" s="3" t="s">
        <v>515</v>
      </c>
      <c r="B1145" s="5">
        <v>40886</v>
      </c>
      <c r="C1145" s="4" t="s">
        <v>726</v>
      </c>
      <c r="D1145" s="3" t="str">
        <f>HYPERLINK("http://www.monitor.co.ug/News/National/-/688334/1234722/-/bj9w3xz/-/index.html")</f>
        <v>http://www.monitor.co.ug/News/National/-/688334/1234722/-/bj9w3xz/-/index.html</v>
      </c>
    </row>
    <row r="1146" spans="1:4" ht="15">
      <c r="A1146" s="3" t="s">
        <v>515</v>
      </c>
      <c r="B1146" s="5">
        <v>40919</v>
      </c>
      <c r="C1146" s="4" t="s">
        <v>563</v>
      </c>
      <c r="D1146" s="3" t="str">
        <f>HYPERLINK("http://www.monitor.co.ug/News/National/Minister-Ecweru-accused-of-hoarding-relief-food/-/688334/1608676/-/1363ka2/-/index.html")</f>
        <v>http://www.monitor.co.ug/News/National/Minister-Ecweru-accused-of-hoarding-relief-food/-/688334/1608676/-/1363ka2/-/index.html</v>
      </c>
    </row>
    <row r="1147" spans="1:4" ht="15">
      <c r="A1147" s="3" t="s">
        <v>515</v>
      </c>
      <c r="B1147" s="5">
        <v>40975</v>
      </c>
      <c r="C1147" s="4" t="s">
        <v>603</v>
      </c>
      <c r="D1147" s="3" t="str">
        <f>HYPERLINK("http://www.monitor.co.ug/News/National/Govt-begins-study-of-disaster-prone-Elgon/-/688334/1442546/-/kt4oeaz/-/index.html")</f>
        <v>http://www.monitor.co.ug/News/National/Govt-begins-study-of-disaster-prone-Elgon/-/688334/1442546/-/kt4oeaz/-/index.html</v>
      </c>
    </row>
    <row r="1148" spans="1:4" ht="15">
      <c r="A1148" s="3" t="s">
        <v>515</v>
      </c>
      <c r="B1148" s="5">
        <v>41035</v>
      </c>
      <c r="C1148" s="4" t="s">
        <v>563</v>
      </c>
      <c r="D1148" s="3" t="str">
        <f>HYPERLINK("http://www.newvision.co.ug/news/631686-sironko-landslides-kill-2-displace-40.html")</f>
        <v>http://www.newvision.co.ug/news/631686-sironko-landslides-kill-2-displace-40.html</v>
      </c>
    </row>
    <row r="1149" spans="1:4" ht="15">
      <c r="A1149" s="3" t="s">
        <v>515</v>
      </c>
      <c r="B1149" s="5">
        <v>41062</v>
      </c>
      <c r="C1149" s="4" t="s">
        <v>603</v>
      </c>
      <c r="D1149" s="3" t="str">
        <f>HYPERLINK("http://www.monitor.co.ug/News/National/-/688334/1321098/-/b0uxiuz/-/index.html")</f>
        <v>http://www.monitor.co.ug/News/National/-/688334/1321098/-/b0uxiuz/-/index.html</v>
      </c>
    </row>
    <row r="1150" spans="1:4" ht="15">
      <c r="A1150" s="3" t="s">
        <v>515</v>
      </c>
      <c r="B1150" s="5">
        <v>41096</v>
      </c>
      <c r="C1150" s="4" t="s">
        <v>603</v>
      </c>
      <c r="D1150" s="3" t="str">
        <f>HYPERLINK("http://www.monitor.co.ug/News/National/Don-warns-of-more-natural-disasters-in-eastern-region/-/688334/1422202/-/4pyweb/-/index.html")</f>
        <v>http://www.monitor.co.ug/News/National/Don-warns-of-more-natural-disasters-in-eastern-region/-/688334/1422202/-/4pyweb/-/index.html</v>
      </c>
    </row>
    <row r="1151" spans="1:4" ht="15">
      <c r="A1151" s="3" t="s">
        <v>515</v>
      </c>
      <c r="B1151" s="5">
        <v>41184</v>
      </c>
      <c r="C1151" s="4" t="s">
        <v>603</v>
      </c>
      <c r="D1151" s="3" t="str">
        <f>HYPERLINK("http://www.newvision.co.ug/news/628949-bulambuli-landslide-victims-recieve-aid.html")</f>
        <v>http://www.newvision.co.ug/news/628949-bulambuli-landslide-victims-recieve-aid.html</v>
      </c>
    </row>
    <row r="1152" spans="1:4" ht="15">
      <c r="A1152" s="3" t="s">
        <v>515</v>
      </c>
      <c r="B1152" s="5">
        <v>41191</v>
      </c>
      <c r="C1152" s="4" t="s">
        <v>602</v>
      </c>
      <c r="D1152" s="3" t="str">
        <f>HYPERLINK("http://www.newvision.co.ug/news/635063-rains-worry-bududa-residents.html")</f>
        <v>http://www.newvision.co.ug/news/635063-rains-worry-bududa-residents.html</v>
      </c>
    </row>
    <row r="1153" spans="1:4" ht="15">
      <c r="A1153" s="3" t="s">
        <v>515</v>
      </c>
      <c r="B1153" s="5">
        <v>41250</v>
      </c>
      <c r="C1153" s="4" t="s">
        <v>563</v>
      </c>
      <c r="D1153" s="3" t="str">
        <f>HYPERLINK("http://www.monitor.co.ug/News/National/Government-to-move-400-000/-/688334/1451508/-/fwck43/-/index.html")</f>
        <v>http://www.monitor.co.ug/News/National/Government-to-move-400-000/-/688334/1451508/-/fwck43/-/index.html</v>
      </c>
    </row>
    <row r="1154" spans="1:4" ht="15">
      <c r="A1154" s="3" t="s">
        <v>515</v>
      </c>
      <c r="B1154" s="5">
        <v>41306</v>
      </c>
      <c r="C1154" s="4" t="s">
        <v>603</v>
      </c>
      <c r="D1154" s="3" t="str">
        <f>HYPERLINK("http://www.monitor.co.ug/OpEd/Letters/Government-officials-and-legislators-should-make/-/806314/1655506/-/wa4iioz/-/index.html")</f>
        <v>http://www.monitor.co.ug/OpEd/Letters/Government-officials-and-legislators-should-make/-/806314/1655506/-/wa4iioz/-/index.html</v>
      </c>
    </row>
    <row r="1155" spans="1:4" ht="15">
      <c r="A1155" s="3" t="s">
        <v>515</v>
      </c>
      <c r="B1155" s="5">
        <v>41427</v>
      </c>
      <c r="C1155" s="4" t="s">
        <v>558</v>
      </c>
      <c r="D1155" s="3" t="str">
        <f>HYPERLINK("http://www.monitor.co.ug/News/National/Elgon-locals-to-relocate-ahead-of-heavy-rains/-/688334/1685880/-/locj8nz/-/index.html")</f>
        <v>http://www.monitor.co.ug/News/National/Elgon-locals-to-relocate-ahead-of-heavy-rains/-/688334/1685880/-/locj8nz/-/index.html</v>
      </c>
    </row>
    <row r="1156" spans="1:4" ht="15">
      <c r="A1156" s="3" t="s">
        <v>515</v>
      </c>
      <c r="B1156" s="5">
        <v>41459</v>
      </c>
      <c r="C1156" s="4" t="s">
        <v>563</v>
      </c>
      <c r="D1156" s="3" t="str">
        <f>HYPERLINK("http://www.monitor.co.ug/News/National/-50-000-people-ordered-to-relocate-for-fear-of-landslides/-/688334/1741166/-/3vb7qt/-/index.html")</f>
        <v>http://www.monitor.co.ug/News/National/-50-000-people-ordered-to-relocate-for-fear-of-landslides/-/688334/1741166/-/3vb7qt/-/index.html</v>
      </c>
    </row>
    <row r="1157" spans="1:4" ht="15">
      <c r="A1157" s="3" t="s">
        <v>515</v>
      </c>
      <c r="B1157" s="5">
        <v>41521</v>
      </c>
      <c r="C1157" s="4" t="s">
        <v>749</v>
      </c>
      <c r="D1157" s="3" t="str">
        <f>HYPERLINK("http://www.monitor.co.ug/News/National/Animals--gardens-buried-in-Bulambuli-landslide/-/688334/1743070/-/3b8bt3z/-/index.html")</f>
        <v>http://www.monitor.co.ug/News/National/Animals--gardens-buried-in-Bulambuli-landslide/-/688334/1743070/-/3b8bt3z/-/index.html</v>
      </c>
    </row>
    <row r="1158" spans="1:4" ht="15">
      <c r="A1158" s="3" t="s">
        <v>515</v>
      </c>
      <c r="B1158" s="5">
        <v>41552</v>
      </c>
      <c r="C1158" s="4" t="s">
        <v>558</v>
      </c>
      <c r="D1158" s="3" t="str">
        <f>HYPERLINK("http://www.monitor.co.ug/News/National/Elgon-locals-get-tips-on-disasters/-/688334/1847600/-/ocm26uz/-/index.html")</f>
        <v>http://www.monitor.co.ug/News/National/Elgon-locals-get-tips-on-disasters/-/688334/1847600/-/ocm26uz/-/index.html</v>
      </c>
    </row>
    <row r="1159" spans="1:4" ht="15">
      <c r="A1159" s="3" t="s">
        <v>515</v>
      </c>
      <c r="B1159" s="5">
        <v>41704</v>
      </c>
      <c r="C1159" s="4" t="s">
        <v>603</v>
      </c>
      <c r="D1159" s="3" t="str">
        <f>HYPERLINK("http://www.monitor.co.ug/News/National/Mudslides-bury-200-Sironko-homes/-/688334/2334872/-/ncpuwf/-/index.html")</f>
        <v>http://www.monitor.co.ug/News/National/Mudslides-bury-200-Sironko-homes/-/688334/2334872/-/ncpuwf/-/index.html</v>
      </c>
    </row>
    <row r="1160" spans="1:4" ht="15">
      <c r="A1160" s="3" t="s">
        <v>515</v>
      </c>
      <c r="B1160" s="5">
        <v>41709</v>
      </c>
      <c r="C1160" s="4" t="s">
        <v>603</v>
      </c>
      <c r="D1160" s="3" t="str">
        <f>HYPERLINK("http://www.monitor.co.ug/News/National/Mt-Elgon--Heavy-rains-threaten-PLE-exercise/-/688334/2508186/-/26my6az/-/index.html")</f>
        <v>http://www.monitor.co.ug/News/National/Mt-Elgon--Heavy-rains-threaten-PLE-exercise/-/688334/2508186/-/26my6az/-/index.html</v>
      </c>
    </row>
    <row r="1161" spans="1:4" ht="15">
      <c r="A1161" s="3" t="s">
        <v>515</v>
      </c>
      <c r="B1161" s="5">
        <v>41796</v>
      </c>
      <c r="C1161" s="4" t="s">
        <v>702</v>
      </c>
      <c r="D1161" s="3" t="str">
        <f>HYPERLINK("http://www.monitor.co.ug/News/National/Opposition--Speech-is-same-old-song/-/688334/2338808/-/9yljguz/-/index.html")</f>
        <v>http://www.monitor.co.ug/News/National/Opposition--Speech-is-same-old-song/-/688334/2338808/-/9yljguz/-/index.html</v>
      </c>
    </row>
    <row r="1162" spans="1:4" ht="15">
      <c r="A1162" s="3" t="s">
        <v>515</v>
      </c>
      <c r="B1162" s="5">
        <v>41982</v>
      </c>
      <c r="C1162" s="4" t="s">
        <v>563</v>
      </c>
      <c r="D1162" s="3" t="str">
        <f>HYPERLINK("http://www.monitor.co.ug/News/National/Govt-queries-complaints-of-land-owners-in-Bulambuli/-/688334/2449692/-/3lp7ga/-/index.html")</f>
        <v>http://www.monitor.co.ug/News/National/Govt-queries-complaints-of-land-owners-in-Bulambuli/-/688334/2449692/-/3lp7ga/-/index.html</v>
      </c>
    </row>
    <row r="1163" spans="1:4" ht="15">
      <c r="A1163" s="3" t="s">
        <v>515</v>
      </c>
      <c r="B1163" s="5">
        <v>42070</v>
      </c>
      <c r="C1163" s="4" t="s">
        <v>603</v>
      </c>
      <c r="D1163" s="3" t="str">
        <f>HYPERLINK("http://www.monitor.co.ug/OpEd/Editorial/Stay-away-from-Mt-Elgon-area/-/689360/2772992/-/b8y19rz/-/index.html")</f>
        <v>http://www.monitor.co.ug/OpEd/Editorial/Stay-away-from-Mt-Elgon-area/-/689360/2772992/-/b8y19rz/-/index.html</v>
      </c>
    </row>
    <row r="1164" spans="1:4" ht="15">
      <c r="A1164" s="3" t="s">
        <v>515</v>
      </c>
      <c r="B1164" s="5">
        <v>42223</v>
      </c>
      <c r="C1164" s="4" t="s">
        <v>551</v>
      </c>
      <c r="D1164" s="3" t="str">
        <f>HYPERLINK("http://www.monitor.co.ug/Magazines/Farming/Uganda-s-mountain-areas--land-soil-erosion/-/689860/2777892/-/ip1pi3/-/index.html")</f>
        <v>http://www.monitor.co.ug/Magazines/Farming/Uganda-s-mountain-areas--land-soil-erosion/-/689860/2777892/-/ip1pi3/-/index.html</v>
      </c>
    </row>
    <row r="1165" spans="1:4" ht="15">
      <c r="A1165" s="3" t="s">
        <v>515</v>
      </c>
      <c r="B1165" s="4" t="s">
        <v>522</v>
      </c>
      <c r="C1165" s="4" t="s">
        <v>603</v>
      </c>
      <c r="D1165" s="3" t="str">
        <f>HYPERLINK("http://www.monitor.co.ug/News/National/-/688334/1254448/-/bi1vlqz/-/index.html")</f>
        <v>http://www.monitor.co.ug/News/National/-/688334/1254448/-/bi1vlqz/-/index.html</v>
      </c>
    </row>
    <row r="1166" spans="1:4" ht="15">
      <c r="A1166" s="3" t="s">
        <v>515</v>
      </c>
      <c r="B1166" s="4" t="s">
        <v>520</v>
      </c>
      <c r="C1166" s="4" t="s">
        <v>603</v>
      </c>
      <c r="D1166" s="3" t="str">
        <f>HYPERLINK("http://www.monitor.co.ug/OpEd/Editorial/-/689360/1235096/-/a1451n/-/index.html")</f>
        <v>http://www.monitor.co.ug/OpEd/Editorial/-/689360/1235096/-/a1451n/-/index.html</v>
      </c>
    </row>
    <row r="1167" spans="1:4" ht="15">
      <c r="A1167" s="3" t="s">
        <v>515</v>
      </c>
      <c r="B1167" s="4" t="s">
        <v>520</v>
      </c>
      <c r="C1167" s="4" t="s">
        <v>744</v>
      </c>
      <c r="D1167" s="3" t="str">
        <f>HYPERLINK("http://www.monitor.co.ug/News/National/-/688334/1235242/-/bj9bnaz/-/index.html")</f>
        <v>http://www.monitor.co.ug/News/National/-/688334/1235242/-/bj9bnaz/-/index.html</v>
      </c>
    </row>
    <row r="1168" spans="1:4" ht="15">
      <c r="A1168" s="3" t="s">
        <v>515</v>
      </c>
      <c r="B1168" s="4" t="s">
        <v>192</v>
      </c>
      <c r="C1168" s="4" t="s">
        <v>563</v>
      </c>
      <c r="D1168" s="3" t="str">
        <f>HYPERLINK("http://www.monitor.co.ug/Magazines/PeoplePower/-/689844/878914/-/5a34gg/-/index.html")</f>
        <v>http://www.monitor.co.ug/Magazines/PeoplePower/-/689844/878914/-/5a34gg/-/index.html</v>
      </c>
    </row>
    <row r="1169" spans="1:4" ht="15">
      <c r="A1169" s="3" t="s">
        <v>515</v>
      </c>
      <c r="B1169" s="4" t="s">
        <v>262</v>
      </c>
      <c r="C1169" s="4" t="s">
        <v>751</v>
      </c>
      <c r="D1169" s="3" t="str">
        <f>HYPERLINK("http://www.newvision.co.ug/news/316078-bulambuli-roads-cleared-of-debris-after-landslide.html")</f>
        <v>http://www.newvision.co.ug/news/316078-bulambuli-roads-cleared-of-debris-after-landslide.html</v>
      </c>
    </row>
    <row r="1170" spans="1:4" ht="15">
      <c r="A1170" s="3" t="s">
        <v>515</v>
      </c>
      <c r="B1170" s="4" t="s">
        <v>262</v>
      </c>
      <c r="C1170" s="4" t="s">
        <v>751</v>
      </c>
      <c r="D1170" s="3" t="str">
        <f>HYPERLINK("http://www.newvision.co.ug/news/1313-bulambuli-roads-cleared-of-debris-after-landslide.html")</f>
        <v>http://www.newvision.co.ug/news/1313-bulambuli-roads-cleared-of-debris-after-landslide.html</v>
      </c>
    </row>
    <row r="1171" spans="1:4" ht="15">
      <c r="A1171" s="3" t="s">
        <v>515</v>
      </c>
      <c r="B1171" s="4" t="s">
        <v>285</v>
      </c>
      <c r="C1171" s="4" t="s">
        <v>558</v>
      </c>
      <c r="D1171" s="3" t="str">
        <f>HYPERLINK("http://www.monitor.co.ug/News/National/-/688334/1327696/-/b0qmw5z/-/index.html")</f>
        <v>http://www.monitor.co.ug/News/National/-/688334/1327696/-/b0qmw5z/-/index.html</v>
      </c>
    </row>
    <row r="1172" spans="1:4" ht="15">
      <c r="A1172" s="3" t="s">
        <v>515</v>
      </c>
      <c r="B1172" s="4" t="s">
        <v>516</v>
      </c>
      <c r="C1172" s="4" t="s">
        <v>610</v>
      </c>
      <c r="D1172" s="3" t="str">
        <f>HYPERLINK("http://www.monitor.co.ug/News/National/-/688334/976580/-/x3avvj/-/index.html")</f>
        <v>http://www.monitor.co.ug/News/National/-/688334/976580/-/x3avvj/-/index.html</v>
      </c>
    </row>
    <row r="1173" spans="1:4" ht="15">
      <c r="A1173" s="3" t="s">
        <v>515</v>
      </c>
      <c r="B1173" s="4" t="s">
        <v>115</v>
      </c>
      <c r="C1173" s="4" t="s">
        <v>128</v>
      </c>
      <c r="D1173" s="3" t="str">
        <f>HYPERLINK("http://www.newvision.co.ug/news/315966-bulambuli-seeks-sh118m-for-medics-salaries.html")</f>
        <v>http://www.newvision.co.ug/news/315966-bulambuli-seeks-sh118m-for-medics-salaries.html</v>
      </c>
    </row>
    <row r="1174" spans="1:4" ht="15">
      <c r="A1174" s="3" t="s">
        <v>515</v>
      </c>
      <c r="B1174" s="4" t="s">
        <v>115</v>
      </c>
      <c r="C1174" s="4" t="s">
        <v>128</v>
      </c>
      <c r="D1174" s="3" t="str">
        <f>HYPERLINK("http://www.newvision.co.ug/news/1201-bulambuli-seeks-sh118m-for-medics-salaries.html")</f>
        <v>http://www.newvision.co.ug/news/1201-bulambuli-seeks-sh118m-for-medics-salaries.html</v>
      </c>
    </row>
    <row r="1175" spans="1:4" ht="15">
      <c r="A1175" s="3" t="s">
        <v>515</v>
      </c>
      <c r="B1175" s="4" t="s">
        <v>526</v>
      </c>
      <c r="C1175" s="4" t="s">
        <v>563</v>
      </c>
      <c r="D1175" s="3" t="str">
        <f>HYPERLINK("http://www.newvision.co.ug/news/646170-we-knew-mudslides-would-happen-in-bududa-why-didn-t-we-prepare.html")</f>
        <v>http://www.newvision.co.ug/news/646170-we-knew-mudslides-would-happen-in-bududa-why-didn-t-we-prepare.html</v>
      </c>
    </row>
    <row r="1176" spans="1:4" ht="15">
      <c r="A1176" s="3" t="s">
        <v>515</v>
      </c>
      <c r="B1176" s="4" t="s">
        <v>64</v>
      </c>
      <c r="C1176" s="4" t="s">
        <v>583</v>
      </c>
      <c r="D1176" s="3" t="str">
        <f>HYPERLINK("http://www.monitor.co.ug/News/National/Storm-leaves-Luweero-villages-in-ruins/-/688334/2453734/-/6x1ctaz/-/index.html")</f>
        <v>http://www.monitor.co.ug/News/National/Storm-leaves-Luweero-villages-in-ruins/-/688334/2453734/-/6x1ctaz/-/index.html</v>
      </c>
    </row>
    <row r="1177" spans="1:4" ht="15">
      <c r="A1177" s="3" t="s">
        <v>515</v>
      </c>
      <c r="B1177" s="4" t="s">
        <v>523</v>
      </c>
      <c r="C1177" s="4" t="s">
        <v>558</v>
      </c>
      <c r="D1177" s="3" t="str">
        <f>HYPERLINK("http://www.monitor.co.ug/News/National/Bududa-landslide-victims-demand-accountability-from-URCS/-/688334/1535282/-/wyhy38/-/index.html")</f>
        <v>http://www.monitor.co.ug/News/National/Bududa-landslide-victims-demand-accountability-from-URCS/-/688334/1535282/-/wyhy38/-/index.html</v>
      </c>
    </row>
    <row r="1178" spans="1:4" ht="15">
      <c r="A1178" s="3" t="s">
        <v>515</v>
      </c>
      <c r="B1178" s="4" t="s">
        <v>341</v>
      </c>
      <c r="C1178" s="4" t="s">
        <v>603</v>
      </c>
      <c r="D1178" s="3" t="str">
        <f>HYPERLINK("http://www.monitor.co.ug/News/National/Fresh-floods--return-in-July/-/688334/1885094/-/isi2viz/-/index.html")</f>
        <v>http://www.monitor.co.ug/News/National/Fresh-floods--return-in-July/-/688334/1885094/-/isi2viz/-/index.html</v>
      </c>
    </row>
    <row r="1179" spans="1:4" ht="15">
      <c r="A1179" s="3" t="s">
        <v>515</v>
      </c>
      <c r="B1179" s="4" t="s">
        <v>264</v>
      </c>
      <c r="C1179" s="4" t="s">
        <v>603</v>
      </c>
      <c r="D1179" s="3" t="str">
        <f>HYPERLINK("http://www.monitor.co.ug/OpEd/Letters/-/806314/1237470/-/10t0su0/-/index.html")</f>
        <v>http://www.monitor.co.ug/OpEd/Letters/-/806314/1237470/-/10t0su0/-/index.html</v>
      </c>
    </row>
    <row r="1180" spans="1:4" ht="15">
      <c r="A1180" s="3" t="s">
        <v>515</v>
      </c>
      <c r="B1180" s="4" t="s">
        <v>294</v>
      </c>
      <c r="C1180" s="4" t="s">
        <v>558</v>
      </c>
      <c r="D1180" s="3" t="str">
        <f>HYPERLINK("http://www.monitor.co.ug/OpEd/Editorial/-/689360/1407886/-/b2gjpb/-/index.html")</f>
        <v>http://www.monitor.co.ug/OpEd/Editorial/-/689360/1407886/-/b2gjpb/-/index.html</v>
      </c>
    </row>
    <row r="1181" spans="1:4" ht="15">
      <c r="A1181" s="3" t="s">
        <v>515</v>
      </c>
      <c r="B1181" s="4" t="s">
        <v>525</v>
      </c>
      <c r="C1181" s="4" t="s">
        <v>603</v>
      </c>
      <c r="D1181" s="3" t="str">
        <f>HYPERLINK("http://www.monitor.co.ug/OpEd/Editorial/Heed-warning-on-looming-floods/-/689360/1885934/-/5pqs40z/-/index.html")</f>
        <v>http://www.monitor.co.ug/OpEd/Editorial/Heed-warning-on-looming-floods/-/689360/1885934/-/5pqs40z/-/index.html</v>
      </c>
    </row>
    <row r="1182" spans="1:4" ht="15">
      <c r="A1182" s="3" t="s">
        <v>515</v>
      </c>
      <c r="B1182" s="4" t="s">
        <v>527</v>
      </c>
      <c r="C1182" s="4" t="s">
        <v>473</v>
      </c>
      <c r="D1182" s="3" t="str">
        <f>HYPERLINK("http://www.monitor.co.ug/News/National/Karamoja-roads-remain-in-bad-shape-as-rains-return/-/688334/1958016/-/t7kd5mz/-/index.html")</f>
        <v>http://www.monitor.co.ug/News/National/Karamoja-roads-remain-in-bad-shape-as-rains-return/-/688334/1958016/-/t7kd5mz/-/index.html</v>
      </c>
    </row>
    <row r="1183" spans="1:4" ht="15">
      <c r="A1183" s="3" t="s">
        <v>515</v>
      </c>
      <c r="B1183" s="4" t="s">
        <v>518</v>
      </c>
      <c r="C1183" s="4" t="s">
        <v>563</v>
      </c>
      <c r="D1183" s="3" t="str">
        <f>HYPERLINK("http://www.monitor.co.ug/News/National/-/688334/1221358/-/bjxm0rz/-/index.html")</f>
        <v>http://www.monitor.co.ug/News/National/-/688334/1221358/-/bjxm0rz/-/index.html</v>
      </c>
    </row>
    <row r="1184" spans="1:4" ht="15">
      <c r="A1184" s="3" t="s">
        <v>515</v>
      </c>
      <c r="B1184" s="4" t="s">
        <v>308</v>
      </c>
      <c r="C1184" s="4" t="s">
        <v>603</v>
      </c>
      <c r="D1184" s="3" t="str">
        <f>HYPERLINK("http://www.monitor.co.ug/News/National/Bududa-locals-use-ashes-to--avert--landslides/-/688334/1482344/-/atwvib/-/index.html")</f>
        <v>http://www.monitor.co.ug/News/National/Bududa-locals-use-ashes-to--avert--landslides/-/688334/1482344/-/atwvib/-/index.html</v>
      </c>
    </row>
    <row r="1185" spans="1:4" ht="15">
      <c r="A1185" s="3" t="s">
        <v>515</v>
      </c>
      <c r="B1185" s="4" t="s">
        <v>102</v>
      </c>
      <c r="C1185" s="4" t="s">
        <v>745</v>
      </c>
      <c r="D1185" s="3" t="str">
        <f>HYPERLINK("http://www.newvision.co.ug/news/1026-bulambuli-leaders-call-for-government-help.html")</f>
        <v>http://www.newvision.co.ug/news/1026-bulambuli-leaders-call-for-government-help.html</v>
      </c>
    </row>
    <row r="1186" spans="1:4" ht="15">
      <c r="A1186" s="3" t="s">
        <v>515</v>
      </c>
      <c r="B1186" s="4" t="s">
        <v>102</v>
      </c>
      <c r="C1186" s="4" t="s">
        <v>745</v>
      </c>
      <c r="D1186" s="3" t="str">
        <f>HYPERLINK("http://www.newvision.co.ug/news/315791-bulambuli-leaders-call-for-government-help.html")</f>
        <v>http://www.newvision.co.ug/news/315791-bulambuli-leaders-call-for-government-help.html</v>
      </c>
    </row>
    <row r="1187" spans="1:4" ht="15">
      <c r="A1187" s="3" t="s">
        <v>515</v>
      </c>
      <c r="B1187" s="4" t="s">
        <v>291</v>
      </c>
      <c r="C1187" s="4" t="s">
        <v>558</v>
      </c>
      <c r="D1187" s="3" t="str">
        <f>HYPERLINK("http://www.monitor.co.ug/News/National/-/688334/1390394/-/avks8kz/-/index.html")</f>
        <v>http://www.monitor.co.ug/News/National/-/688334/1390394/-/avks8kz/-/index.html</v>
      </c>
    </row>
    <row r="1188" spans="1:4" ht="15">
      <c r="A1188" s="3" t="s">
        <v>515</v>
      </c>
      <c r="B1188" s="4" t="s">
        <v>214</v>
      </c>
      <c r="C1188" s="4" t="s">
        <v>602</v>
      </c>
      <c r="D1188" s="3" t="str">
        <f>HYPERLINK("http://www.newvision.co.ug/news/616783-tourists-shun-mt-elgon-over-bududa-landslides.html")</f>
        <v>http://www.newvision.co.ug/news/616783-tourists-shun-mt-elgon-over-bududa-landslides.html</v>
      </c>
    </row>
    <row r="1189" spans="1:4" ht="15">
      <c r="A1189" s="3" t="s">
        <v>515</v>
      </c>
      <c r="B1189" s="4" t="s">
        <v>224</v>
      </c>
      <c r="C1189" s="4" t="s">
        <v>750</v>
      </c>
      <c r="D1189" s="3" t="str">
        <f>HYPERLINK("http://www.monitor.co.ug/News/National/-/688334/1015656/-/cnmrqkz/-/index.html")</f>
        <v>http://www.monitor.co.ug/News/National/-/688334/1015656/-/cnmrqkz/-/index.html</v>
      </c>
    </row>
    <row r="1190" spans="1:4" ht="15">
      <c r="A1190" s="3" t="s">
        <v>515</v>
      </c>
      <c r="B1190" s="4" t="s">
        <v>528</v>
      </c>
      <c r="C1190" s="4" t="s">
        <v>613</v>
      </c>
      <c r="D1190" s="3" t="str">
        <f>HYPERLINK("http://www.newvision.co.ug/news/659989-resettling-of-bududa-families-starts.html")</f>
        <v>http://www.newvision.co.ug/news/659989-resettling-of-bududa-families-starts.html</v>
      </c>
    </row>
    <row r="1191" spans="1:4" ht="15">
      <c r="A1191" s="3" t="s">
        <v>515</v>
      </c>
      <c r="B1191" s="4" t="s">
        <v>221</v>
      </c>
      <c r="C1191" s="4" t="s">
        <v>563</v>
      </c>
      <c r="D1191" s="3" t="str">
        <f>HYPERLINK("http://www.monitor.co.ug/News/National/-/688334/994950/-/x4ho40/-/index.html")</f>
        <v>http://www.monitor.co.ug/News/National/-/688334/994950/-/x4ho40/-/index.html</v>
      </c>
    </row>
    <row r="1192" spans="1:4" ht="15">
      <c r="A1192" s="3" t="s">
        <v>515</v>
      </c>
      <c r="B1192" s="4" t="s">
        <v>521</v>
      </c>
      <c r="C1192" s="4" t="s">
        <v>603</v>
      </c>
      <c r="D1192" s="3" t="str">
        <f>HYPERLINK("http://www.monitor.co.ug/OpEd/Letters/-/806314/1241440/-/10ti6qm/-/index.html")</f>
        <v>http://www.monitor.co.ug/OpEd/Letters/-/806314/1241440/-/10ti6qm/-/index.html</v>
      </c>
    </row>
    <row r="1193" spans="1:4" ht="15">
      <c r="A1193" s="3" t="s">
        <v>515</v>
      </c>
      <c r="B1193" s="4" t="s">
        <v>521</v>
      </c>
      <c r="C1193" s="4" t="s">
        <v>563</v>
      </c>
      <c r="D1193" s="3" t="str">
        <f>HYPERLINK("http://www.monitor.co.ug/News/National/-/688334/1241698/-/bipgr8z/-/index.html")</f>
        <v>http://www.monitor.co.ug/News/National/-/688334/1241698/-/bipgr8z/-/index.html</v>
      </c>
    </row>
    <row r="1194" spans="1:4" ht="15">
      <c r="A1194" s="3" t="s">
        <v>515</v>
      </c>
      <c r="B1194" s="4" t="s">
        <v>380</v>
      </c>
      <c r="C1194" s="4" t="s">
        <v>740</v>
      </c>
      <c r="D1194" s="3" t="str">
        <f>HYPERLINK("http://www.monitor.co.ug/OpEd/Editorial/Save-Elgon-area-from-flooding/-/689360/2462896/-/5udm1k/-/index.html")</f>
        <v>http://www.monitor.co.ug/OpEd/Editorial/Save-Elgon-area-from-flooding/-/689360/2462896/-/5udm1k/-/index.html</v>
      </c>
    </row>
    <row r="1195" spans="1:4" ht="15">
      <c r="A1195" s="3" t="s">
        <v>515</v>
      </c>
      <c r="B1195" s="4" t="s">
        <v>106</v>
      </c>
      <c r="C1195" s="4" t="s">
        <v>603</v>
      </c>
      <c r="D1195" s="3" t="str">
        <f>HYPERLINK("http://www.monitor.co.ug/News/National/Only-environmental-education-can-save-Mt--Elgon--experts-say/-/688334/1435504/-/rbqqnpz/-/index.html")</f>
        <v>http://www.monitor.co.ug/News/National/Only-environmental-education-can-save-Mt--Elgon--experts-say/-/688334/1435504/-/rbqqnpz/-/index.html</v>
      </c>
    </row>
    <row r="1196" spans="1:4" ht="15">
      <c r="A1196" s="3" t="s">
        <v>515</v>
      </c>
      <c r="B1196" s="4" t="s">
        <v>524</v>
      </c>
      <c r="C1196" s="4" t="s">
        <v>558</v>
      </c>
      <c r="D1196" s="3" t="str">
        <f>HYPERLINK("http://www.monitor.co.ug/News/National/1972-landslide-survivors-recount-horror/-/688334/1603926/-/104wj0mz/-/index.html")</f>
        <v>http://www.monitor.co.ug/News/National/1972-landslide-survivors-recount-horror/-/688334/1603926/-/104wj0mz/-/index.html</v>
      </c>
    </row>
    <row r="1197" spans="1:4" ht="15">
      <c r="A1197" s="3" t="s">
        <v>515</v>
      </c>
      <c r="B1197" s="4" t="s">
        <v>76</v>
      </c>
      <c r="C1197" s="4" t="s">
        <v>128</v>
      </c>
      <c r="D1197" s="3" t="str">
        <f>HYPERLINK("http://www.monitor.co.ug/News/Education/-/688336/704970/-/10d5omi/-/index.html")</f>
        <v>http://www.monitor.co.ug/News/Education/-/688336/704970/-/10d5omi/-/index.html</v>
      </c>
    </row>
    <row r="1198" spans="1:4" ht="15">
      <c r="A1198" s="3" t="s">
        <v>515</v>
      </c>
      <c r="B1198" s="4" t="s">
        <v>269</v>
      </c>
      <c r="C1198" s="4" t="s">
        <v>563</v>
      </c>
      <c r="D1198" s="3" t="str">
        <f>HYPERLINK("http://www.monitor.co.ug/News/National/-/688334/1262660/-/bhgoqbz/-/index.html")</f>
        <v>http://www.monitor.co.ug/News/National/-/688334/1262660/-/bhgoqbz/-/index.html</v>
      </c>
    </row>
    <row r="1199" spans="1:4" ht="15">
      <c r="A1199" s="3" t="s">
        <v>515</v>
      </c>
      <c r="B1199" s="4" t="s">
        <v>275</v>
      </c>
      <c r="C1199" s="4" t="s">
        <v>740</v>
      </c>
      <c r="D1199" s="3" t="str">
        <f>HYPERLINK("http://www.newvision.co.ug/news/45647-floods-ruin-roads-across-uganda.html")</f>
        <v>http://www.newvision.co.ug/news/45647-floods-ruin-roads-across-uganda.html</v>
      </c>
    </row>
    <row r="1200" spans="1:4" ht="15">
      <c r="A1200" s="3" t="s">
        <v>515</v>
      </c>
      <c r="B1200" s="4" t="s">
        <v>233</v>
      </c>
      <c r="C1200" s="4" t="s">
        <v>562</v>
      </c>
      <c r="D1200" s="3" t="str">
        <f>HYPERLINK("http://www.monitor.co.ug/News/National/-/688334/1116056/-/c4jheez/-/index.html")</f>
        <v>http://www.monitor.co.ug/News/National/-/688334/1116056/-/c4jheez/-/index.html</v>
      </c>
    </row>
    <row r="1201" spans="1:4" ht="15">
      <c r="A1201" s="3" t="s">
        <v>515</v>
      </c>
      <c r="B1201" s="4" t="s">
        <v>488</v>
      </c>
      <c r="C1201" s="4" t="s">
        <v>750</v>
      </c>
      <c r="D1201" s="3" t="str">
        <f>HYPERLINK("http://www.monitor.co.ug/News/National/-/688334/1134940/-/c3cl82z/-/index.html")</f>
        <v>http://www.monitor.co.ug/News/National/-/688334/1134940/-/c3cl82z/-/index.html</v>
      </c>
    </row>
    <row r="1202" spans="1:4" ht="15">
      <c r="A1202" s="3" t="s">
        <v>515</v>
      </c>
      <c r="B1202" s="4" t="s">
        <v>303</v>
      </c>
      <c r="C1202" s="4" t="s">
        <v>603</v>
      </c>
      <c r="D1202" s="3" t="str">
        <f>HYPERLINK("http://www.newvision.co.ug/news/632472-uganda-red-cross-society-seeks-sh4-5b-for-bududa.html")</f>
        <v>http://www.newvision.co.ug/news/632472-uganda-red-cross-society-seeks-sh4-5b-for-bududa.html</v>
      </c>
    </row>
    <row r="1203" spans="1:4" ht="15">
      <c r="A1203" s="3" t="s">
        <v>515</v>
      </c>
      <c r="B1203" s="4" t="s">
        <v>303</v>
      </c>
      <c r="C1203" s="4" t="s">
        <v>558</v>
      </c>
      <c r="D1203" s="3" t="str">
        <f>HYPERLINK("http://www.monitor.co.ug/News/National/Mudslide-victims-need-Shs4-5b-for-urgent-help-/-/688334/1438524/-/ouu8n7z/-/index.html")</f>
        <v>http://www.monitor.co.ug/News/National/Mudslide-victims-need-Shs4-5b-for-urgent-help-/-/688334/1438524/-/ouu8n7z/-/index.html</v>
      </c>
    </row>
    <row r="1204" spans="1:4" ht="15">
      <c r="A1204" s="3" t="s">
        <v>515</v>
      </c>
      <c r="B1204" s="4" t="s">
        <v>517</v>
      </c>
      <c r="C1204" s="4" t="s">
        <v>602</v>
      </c>
      <c r="D1204" s="3" t="str">
        <f>HYPERLINK("http://www.newvision.co.ug/news/612217-flooded-schools-get-sh40m-items.html")</f>
        <v>http://www.newvision.co.ug/news/612217-flooded-schools-get-sh40m-items.html</v>
      </c>
    </row>
    <row r="1205" spans="1:4" ht="15">
      <c r="A1205" s="3" t="s">
        <v>515</v>
      </c>
      <c r="B1205" s="4" t="s">
        <v>519</v>
      </c>
      <c r="C1205" s="4" t="s">
        <v>740</v>
      </c>
      <c r="D1205" s="3" t="str">
        <f>HYPERLINK("http://www.monitor.co.ug/News/National/-/688334/1226974/-/bju0niz/-/index.html")</f>
        <v>http://www.monitor.co.ug/News/National/-/688334/1226974/-/bju0niz/-/index.html</v>
      </c>
    </row>
    <row r="1206" spans="1:4" ht="15">
      <c r="A1206" s="3" t="s">
        <v>515</v>
      </c>
      <c r="B1206" s="4" t="s">
        <v>519</v>
      </c>
      <c r="C1206" s="4" t="s">
        <v>742</v>
      </c>
      <c r="D1206" s="3" t="str">
        <f>HYPERLINK("http://www.monitor.co.ug/News/National/-/688334/1227088/-/bjtidgz/-/index.html")</f>
        <v>http://www.monitor.co.ug/News/National/-/688334/1227088/-/bjtidgz/-/index.html</v>
      </c>
    </row>
    <row r="1207" spans="1:4" ht="15">
      <c r="A1207" s="3" t="s">
        <v>515</v>
      </c>
      <c r="B1207" s="4" t="s">
        <v>226</v>
      </c>
      <c r="C1207" s="4" t="s">
        <v>741</v>
      </c>
      <c r="D1207" s="3" t="str">
        <f>HYPERLINK("http://www.newvision.co.ug/news/610065-floods-hit-bulambuli.html")</f>
        <v>http://www.newvision.co.ug/news/610065-floods-hit-bulambuli.html</v>
      </c>
    </row>
    <row r="1208" spans="1:4" ht="15">
      <c r="A1208" s="3" t="s">
        <v>515</v>
      </c>
      <c r="B1208" s="4" t="s">
        <v>406</v>
      </c>
      <c r="C1208" s="4" t="s">
        <v>408</v>
      </c>
      <c r="D1208" s="3" t="str">
        <f>HYPERLINK("http://www.monitor.co.ug/News/National/-/688334/755294/-/vxvkyv/-/index.html")</f>
        <v>http://www.monitor.co.ug/News/National/-/688334/755294/-/vxvkyv/-/index.html</v>
      </c>
    </row>
    <row r="1209" spans="1:4" ht="15">
      <c r="A1209" s="3" t="s">
        <v>515</v>
      </c>
      <c r="B1209" s="4" t="s">
        <v>11</v>
      </c>
      <c r="C1209" s="4" t="s">
        <v>581</v>
      </c>
      <c r="D1209" s="3" t="str">
        <f>HYPERLINK("http://www.monitor.co.ug/News/National/-/688334/909326/-/wy25us/-/index.html")</f>
        <v>http://www.monitor.co.ug/News/National/-/688334/909326/-/wy25us/-/index.html</v>
      </c>
    </row>
    <row r="1210" spans="1:4" ht="15">
      <c r="A1210" s="3" t="s">
        <v>515</v>
      </c>
      <c r="B1210" s="4" t="s">
        <v>293</v>
      </c>
      <c r="C1210" s="4" t="s">
        <v>563</v>
      </c>
      <c r="D1210" s="3" t="str">
        <f>HYPERLINK("http://www.monitor.co.ug/artsculture/Reviews/-/691232/1396256/-/e3xgv/-/index.html")</f>
        <v>http://www.monitor.co.ug/artsculture/Reviews/-/691232/1396256/-/e3xgv/-/index.html</v>
      </c>
    </row>
    <row r="1211" spans="1:4" ht="15">
      <c r="A1211" s="3" t="s">
        <v>515</v>
      </c>
      <c r="B1211" s="4" t="s">
        <v>261</v>
      </c>
      <c r="C1211" s="4" t="s">
        <v>603</v>
      </c>
      <c r="D1211" s="3" t="str">
        <f>HYPERLINK("http://www.newvision.co.ug/news/316824-landslide-death-toll-now-at-40.html")</f>
        <v>http://www.newvision.co.ug/news/316824-landslide-death-toll-now-at-40.html</v>
      </c>
    </row>
    <row r="1212" spans="1:4" ht="15">
      <c r="A1212" s="3" t="s">
        <v>515</v>
      </c>
      <c r="B1212" s="4" t="s">
        <v>261</v>
      </c>
      <c r="C1212" s="4" t="s">
        <v>558</v>
      </c>
      <c r="D1212" s="3" t="str">
        <f>HYPERLINK("http://www.monitor.co.ug/News/National/-/688334/1227598/-/bjtefaz/-/index.html")</f>
        <v>http://www.monitor.co.ug/News/National/-/688334/1227598/-/bjtefaz/-/index.html</v>
      </c>
    </row>
    <row r="1213" spans="1:4" ht="15">
      <c r="A1213" s="3" t="s">
        <v>515</v>
      </c>
      <c r="B1213" s="4" t="s">
        <v>261</v>
      </c>
      <c r="C1213" s="4" t="s">
        <v>563</v>
      </c>
      <c r="D1213" s="3" t="str">
        <f>HYPERLINK("http://www.monitor.co.ug/News/National/-/688334/1227590/-/bjtefiz/-/index.html")</f>
        <v>http://www.monitor.co.ug/News/National/-/688334/1227590/-/bjtefiz/-/index.html</v>
      </c>
    </row>
    <row r="1214" spans="1:4" ht="15">
      <c r="A1214" s="3" t="s">
        <v>515</v>
      </c>
      <c r="B1214" s="4" t="s">
        <v>21</v>
      </c>
      <c r="C1214" s="4" t="s">
        <v>603</v>
      </c>
      <c r="D1214" s="3" t="str">
        <f>HYPERLINK("http://www.monitor.co.ug/OpEd/Letters/-/806314/1227988/-/10sedw3/-/index.html")</f>
        <v>http://www.monitor.co.ug/OpEd/Letters/-/806314/1227988/-/10sedw3/-/index.html</v>
      </c>
    </row>
    <row r="1215" spans="1:4" ht="15">
      <c r="A1215" s="3" t="s">
        <v>515</v>
      </c>
      <c r="B1215" s="4" t="s">
        <v>21</v>
      </c>
      <c r="C1215" s="4" t="s">
        <v>563</v>
      </c>
      <c r="D1215" s="3" t="str">
        <f>HYPERLINK("http://www.monitor.co.ug/News/National/-/688334/1228150/-/bjsscpz/-/index.html")</f>
        <v>http://www.monitor.co.ug/News/National/-/688334/1228150/-/bjsscpz/-/index.html</v>
      </c>
    </row>
    <row r="1216" spans="1:4" ht="15">
      <c r="A1216" s="3" t="s">
        <v>529</v>
      </c>
      <c r="B1216" s="5">
        <v>39547</v>
      </c>
      <c r="C1216" s="4" t="s">
        <v>563</v>
      </c>
      <c r="D1216" s="3" t="str">
        <f>HYPERLINK("http://www.monitor.co.ug/News/National/-/688334/749294/-/vxctd9/-/index.html")</f>
        <v>http://www.monitor.co.ug/News/National/-/688334/749294/-/vxctd9/-/index.html</v>
      </c>
    </row>
    <row r="1217" spans="1:4" ht="15">
      <c r="A1217" s="3" t="s">
        <v>529</v>
      </c>
      <c r="B1217" s="5">
        <v>40489</v>
      </c>
      <c r="C1217" s="4" t="s">
        <v>473</v>
      </c>
      <c r="D1217" s="3" t="str">
        <f>HYPERLINK("http://www.monitor.co.ug/Magazines/PeoplePower/-/689844/955240/-/5ruj1e/-/index.html")</f>
        <v>http://www.monitor.co.ug/Magazines/PeoplePower/-/689844/955240/-/5ruj1e/-/index.html</v>
      </c>
    </row>
    <row r="1218" spans="1:4" ht="15">
      <c r="A1218" s="3" t="s">
        <v>529</v>
      </c>
      <c r="B1218" s="5">
        <v>40554</v>
      </c>
      <c r="C1218" s="4" t="s">
        <v>562</v>
      </c>
      <c r="D1218" s="3" t="str">
        <f>HYPERLINK("http://www.newvision.co.ug/news/18824-today-in-history-2nd-november-1961.html")</f>
        <v>http://www.newvision.co.ug/news/18824-today-in-history-2nd-november-1961.html</v>
      </c>
    </row>
    <row r="1219" spans="1:4" ht="15">
      <c r="A1219" s="3" t="s">
        <v>529</v>
      </c>
      <c r="B1219" s="5">
        <v>40705</v>
      </c>
      <c r="C1219" s="4" t="s">
        <v>558</v>
      </c>
      <c r="D1219" s="3" t="str">
        <f>HYPERLINK("http://www.newvision.co.ug/news/18933-floods-hit-eastern-uganda.html")</f>
        <v>http://www.newvision.co.ug/news/18933-floods-hit-eastern-uganda.html</v>
      </c>
    </row>
    <row r="1220" spans="1:4" ht="15">
      <c r="A1220" s="3" t="s">
        <v>529</v>
      </c>
      <c r="B1220" s="5">
        <v>40765</v>
      </c>
      <c r="C1220" s="4" t="s">
        <v>558</v>
      </c>
      <c r="D1220" s="3" t="str">
        <f>HYPERLINK("http://www.newvision.co.ug/news/18285-tullow-provides-relief-support-to-bulambuli-landslide-victims-worth-sh130m.html")</f>
        <v>http://www.newvision.co.ug/news/18285-tullow-provides-relief-support-to-bulambuli-landslide-victims-worth-sh130m.html</v>
      </c>
    </row>
    <row r="1221" spans="1:4" ht="15">
      <c r="A1221" s="3" t="s">
        <v>529</v>
      </c>
      <c r="B1221" s="5">
        <v>40945</v>
      </c>
      <c r="C1221" s="4" t="s">
        <v>764</v>
      </c>
      <c r="D1221" s="3" t="str">
        <f>HYPERLINK("http://www.monitor.co.ug/News/National/Teso-civil-society-wants-audit-of-2007-flood-funds/-/688334/1418474/-/dtd78i/-/index.html")</f>
        <v>http://www.monitor.co.ug/News/National/Teso-civil-society-wants-audit-of-2007-flood-funds/-/688334/1418474/-/dtd78i/-/index.html</v>
      </c>
    </row>
    <row r="1222" spans="1:4" ht="15">
      <c r="A1222" s="3" t="s">
        <v>529</v>
      </c>
      <c r="B1222" s="5">
        <v>40945</v>
      </c>
      <c r="C1222" s="4" t="s">
        <v>764</v>
      </c>
      <c r="D1222" s="3" t="str">
        <f>HYPERLINK("http://www.monitor.co.ug/News/National/Teso-civil-society-wants-audit-of-2007-flood-funds/-/688334/1418474/-/dtd78i/-/index.html")</f>
        <v>http://www.monitor.co.ug/News/National/Teso-civil-society-wants-audit-of-2007-flood-funds/-/688334/1418474/-/dtd78i/-/index.html</v>
      </c>
    </row>
    <row r="1223" spans="1:4" ht="15">
      <c r="A1223" s="3" t="s">
        <v>529</v>
      </c>
      <c r="B1223" s="5">
        <v>40977</v>
      </c>
      <c r="C1223" s="4" t="s">
        <v>563</v>
      </c>
      <c r="D1223" s="3" t="str">
        <f>HYPERLINK("http://www.newvision.co.ug/news/634841-floods-soroti-mbale-road-closed.html")</f>
        <v>http://www.newvision.co.ug/news/634841-floods-soroti-mbale-road-closed.html</v>
      </c>
    </row>
    <row r="1224" spans="1:4" ht="15">
      <c r="A1224" s="3" t="s">
        <v>529</v>
      </c>
      <c r="B1224" s="5">
        <v>41008</v>
      </c>
      <c r="C1224" s="4" t="s">
        <v>563</v>
      </c>
      <c r="D1224" s="3" t="str">
        <f>HYPERLINK("http://www.monitor.co.ug/News/National/Floods-wash-away-Shs10b-road-repairs/-/688334/1495584/-/15h84s6z/-/index.html")</f>
        <v>http://www.monitor.co.ug/News/National/Floods-wash-away-Shs10b-road-repairs/-/688334/1495584/-/15h84s6z/-/index.html</v>
      </c>
    </row>
    <row r="1225" spans="1:4" ht="15">
      <c r="A1225" s="3" t="s">
        <v>529</v>
      </c>
      <c r="B1225" s="5">
        <v>41038</v>
      </c>
      <c r="C1225" s="4" t="s">
        <v>473</v>
      </c>
      <c r="D1225" s="3" t="str">
        <f>HYPERLINK("http://www.newvision.co.ug/news/634942-awoja-bridge-reopens-thursday.html")</f>
        <v>http://www.newvision.co.ug/news/634942-awoja-bridge-reopens-thursday.html</v>
      </c>
    </row>
    <row r="1226" spans="1:4" ht="15">
      <c r="A1226" s="3" t="s">
        <v>529</v>
      </c>
      <c r="B1226" s="5">
        <v>41249</v>
      </c>
      <c r="C1226" s="4" t="s">
        <v>603</v>
      </c>
      <c r="D1226" s="3" t="str">
        <f>HYPERLINK("http://www.newvision.co.ug/news/631889-floods-ravage-sironko-bridges.html")</f>
        <v>http://www.newvision.co.ug/news/631889-floods-ravage-sironko-bridges.html</v>
      </c>
    </row>
    <row r="1227" spans="1:4" ht="15">
      <c r="A1227" s="3" t="s">
        <v>529</v>
      </c>
      <c r="B1227" s="5">
        <v>41372</v>
      </c>
      <c r="C1227" s="4" t="s">
        <v>473</v>
      </c>
      <c r="D1227" s="3" t="str">
        <f>HYPERLINK("http://www.monitor.co.ug/News/National/Karamoja-roads-impassable-as-bus-operators-threaten-to-quit/-/688334/1936298/-/dhfce4/-/index.html")</f>
        <v>http://www.monitor.co.ug/News/National/Karamoja-roads-impassable-as-bus-operators-threaten-to-quit/-/688334/1936298/-/dhfce4/-/index.html</v>
      </c>
    </row>
    <row r="1228" spans="1:4" ht="15">
      <c r="A1228" s="3" t="s">
        <v>529</v>
      </c>
      <c r="B1228" s="5">
        <v>41433</v>
      </c>
      <c r="C1228" s="4" t="s">
        <v>529</v>
      </c>
      <c r="D1228" s="3" t="str">
        <f>HYPERLINK("http://www.monitor.co.ug/News/National/Parliament-approves-Public-Order-Management-Bill/-/688334/1939084/-/15rlkky/-/index.html")</f>
        <v>http://www.monitor.co.ug/News/National/Parliament-approves-Public-Order-Management-Bill/-/688334/1939084/-/15rlkky/-/index.html</v>
      </c>
    </row>
    <row r="1229" spans="1:4" ht="15">
      <c r="A1229" s="3" t="s">
        <v>529</v>
      </c>
      <c r="B1229" s="5">
        <v>41491</v>
      </c>
      <c r="C1229" s="4" t="s">
        <v>128</v>
      </c>
      <c r="D1229" s="3" t="str">
        <f>HYPERLINK("http://www.monitor.co.ug/News/National/Rains-to-pound-until-June--experts-warn/-/688334/1845454/-/x2erqsz/-/index.html")</f>
        <v>http://www.monitor.co.ug/News/National/Rains-to-pound-until-June--experts-warn/-/688334/1845454/-/x2erqsz/-/index.html</v>
      </c>
    </row>
    <row r="1230" spans="1:4" ht="15">
      <c r="A1230" s="3" t="s">
        <v>529</v>
      </c>
      <c r="B1230" s="5">
        <v>41768</v>
      </c>
      <c r="C1230" s="4" t="s">
        <v>128</v>
      </c>
      <c r="D1230" s="3" t="str">
        <f>HYPERLINK("http://www.monitor.co.ug/News/National/Heavy-rains-ravage-Karamoja--displace-500/-/688334/2441316/-/n5u56f/-/index.html")</f>
        <v>http://www.monitor.co.ug/News/National/Heavy-rains-ravage-Karamoja--displace-500/-/688334/2441316/-/n5u56f/-/index.html</v>
      </c>
    </row>
    <row r="1231" spans="1:4" ht="15">
      <c r="A1231" s="3" t="s">
        <v>529</v>
      </c>
      <c r="B1231" s="5">
        <v>42220</v>
      </c>
      <c r="C1231" s="4" t="s">
        <v>473</v>
      </c>
      <c r="D1231" s="3" t="str">
        <f>HYPERLINK("http://www.monitor.co.ug/News/National/Bad-roads-paralyse-trade-in-Karamoja/-/688334/2678566/-/gbejpfz/-/index.html")</f>
        <v>http://www.monitor.co.ug/News/National/Bad-roads-paralyse-trade-in-Karamoja/-/688334/2678566/-/gbejpfz/-/index.html</v>
      </c>
    </row>
    <row r="1232" spans="1:4" ht="15">
      <c r="A1232" s="3" t="s">
        <v>529</v>
      </c>
      <c r="B1232" s="4" t="s">
        <v>532</v>
      </c>
      <c r="C1232" s="4" t="s">
        <v>787</v>
      </c>
      <c r="D1232" s="3" t="str">
        <f>HYPERLINK("http://www.monitor.co.ug/artsculture/Reviews/Why-Teso-continues-to-post-poor-results-in-education/-/691232/2203910/-/68n5io/-/index.html")</f>
        <v>http://www.monitor.co.ug/artsculture/Reviews/Why-Teso-continues-to-post-poor-results-in-education/-/691232/2203910/-/68n5io/-/index.html</v>
      </c>
    </row>
    <row r="1233" spans="1:4" ht="15">
      <c r="A1233" s="3" t="s">
        <v>529</v>
      </c>
      <c r="B1233" s="4" t="s">
        <v>532</v>
      </c>
      <c r="C1233" s="4" t="s">
        <v>787</v>
      </c>
      <c r="D1233" s="3" t="str">
        <f>HYPERLINK("http://www.monitor.co.ug/artsculture/Reviews/Why-Teso-continues-to-post-poor-results-in-education/-/691232/2203910/-/68n5io/-/index.html")</f>
        <v>http://www.monitor.co.ug/artsculture/Reviews/Why-Teso-continues-to-post-poor-results-in-education/-/691232/2203910/-/68n5io/-/index.html</v>
      </c>
    </row>
    <row r="1234" spans="1:4" ht="15">
      <c r="A1234" s="3" t="s">
        <v>529</v>
      </c>
      <c r="B1234" s="4" t="s">
        <v>531</v>
      </c>
      <c r="C1234" s="4" t="s">
        <v>128</v>
      </c>
      <c r="D1234" s="3" t="str">
        <f>HYPERLINK("http://www.monitor.co.ug/News/National/Floods-cut-off-Karamoja-region/-/688334/1505614/-/ve0fb2/-/index.html")</f>
        <v>http://www.monitor.co.ug/News/National/Floods-cut-off-Karamoja-region/-/688334/1505614/-/ve0fb2/-/index.html</v>
      </c>
    </row>
    <row r="1235" spans="1:4" ht="15">
      <c r="A1235" s="3" t="s">
        <v>529</v>
      </c>
      <c r="B1235" s="4" t="s">
        <v>4</v>
      </c>
      <c r="C1235" s="4" t="s">
        <v>473</v>
      </c>
      <c r="D1235" s="3" t="str">
        <f>HYPERLINK("http://www.monitor.co.ug/News/National/-/688334/1219030/-/bkenr3z/-/index.html")</f>
        <v>http://www.monitor.co.ug/News/National/-/688334/1219030/-/bkenr3z/-/index.html</v>
      </c>
    </row>
    <row r="1236" spans="1:4" ht="15">
      <c r="A1236" s="3" t="s">
        <v>529</v>
      </c>
      <c r="B1236" s="4" t="s">
        <v>271</v>
      </c>
      <c r="C1236" s="4" t="s">
        <v>761</v>
      </c>
      <c r="D1236" s="3" t="str">
        <f>HYPERLINK("http://www.monitor.co.ug/News/National/-/688334/1273862/-/bgtexuz/-/index.html")</f>
        <v>http://www.monitor.co.ug/News/National/-/688334/1273862/-/bgtexuz/-/index.html</v>
      </c>
    </row>
    <row r="1237" spans="1:4" ht="15">
      <c r="A1237" s="3" t="s">
        <v>529</v>
      </c>
      <c r="B1237" s="4" t="s">
        <v>434</v>
      </c>
      <c r="C1237" s="4" t="s">
        <v>563</v>
      </c>
      <c r="D1237" s="3" t="str">
        <f>HYPERLINK("http://www.monitor.co.ug/SpecialReports/46-dead-as-hunger-pounds-Karamoja--Teso/-/688342/1917310/-/mah9o2z/-/index.html")</f>
        <v>http://www.monitor.co.ug/SpecialReports/46-dead-as-hunger-pounds-Karamoja--Teso/-/688342/1917310/-/mah9o2z/-/index.html</v>
      </c>
    </row>
    <row r="1238" spans="1:4" ht="15">
      <c r="A1238" s="3" t="s">
        <v>529</v>
      </c>
      <c r="B1238" s="4" t="s">
        <v>419</v>
      </c>
      <c r="C1238" s="4" t="s">
        <v>563</v>
      </c>
      <c r="D1238" s="3" t="str">
        <f>HYPERLINK("http://www.monitor.co.ug/artsculture/-/691192/694350/-/frag4pz/-/index.html")</f>
        <v>http://www.monitor.co.ug/artsculture/-/691192/694350/-/frag4pz/-/index.html</v>
      </c>
    </row>
    <row r="1239" spans="1:4" ht="15">
      <c r="A1239" s="3" t="s">
        <v>529</v>
      </c>
      <c r="B1239" s="4" t="s">
        <v>421</v>
      </c>
      <c r="C1239" s="4" t="s">
        <v>558</v>
      </c>
      <c r="D1239" s="3" t="str">
        <f>HYPERLINK("http://www.newvision.co.ug/news/637448-floods-affect-over-34-0000-countrywide.html")</f>
        <v>http://www.newvision.co.ug/news/637448-floods-affect-over-34-0000-countrywide.html</v>
      </c>
    </row>
    <row r="1240" spans="1:4" ht="15">
      <c r="A1240" s="3" t="s">
        <v>529</v>
      </c>
      <c r="B1240" s="4" t="s">
        <v>417</v>
      </c>
      <c r="C1240" s="4" t="s">
        <v>558</v>
      </c>
      <c r="D1240" s="3" t="str">
        <f>HYPERLINK("http://www.newvision.co.ug/news/637477-floods-ravage-8-900-homes.html")</f>
        <v>http://www.newvision.co.ug/news/637477-floods-ravage-8-900-homes.html</v>
      </c>
    </row>
    <row r="1241" spans="1:4" ht="15">
      <c r="A1241" s="3" t="s">
        <v>529</v>
      </c>
      <c r="B1241" s="4" t="s">
        <v>104</v>
      </c>
      <c r="C1241" s="4" t="s">
        <v>687</v>
      </c>
      <c r="D1241" s="3" t="str">
        <f>HYPERLINK("http://www.monitor.co.ug/OpEd/Commentary/-/689364/1276950/-/12oxttiz/-/index.html")</f>
        <v>http://www.monitor.co.ug/OpEd/Commentary/-/689364/1276950/-/12oxttiz/-/index.html</v>
      </c>
    </row>
    <row r="1242" spans="1:4" ht="15">
      <c r="A1242" s="3" t="s">
        <v>529</v>
      </c>
      <c r="B1242" s="4" t="s">
        <v>424</v>
      </c>
      <c r="C1242" s="4" t="s">
        <v>558</v>
      </c>
      <c r="D1242" s="3" t="str">
        <f>HYPERLINK("http://www.monitor.co.ug/News/National/34-000-affected-by-floods-as-Teso-leaders-speak-on-Awoja/-/688334/1626288/-/kkqp5pz/-/index.html")</f>
        <v>http://www.monitor.co.ug/News/National/34-000-affected-by-floods-as-Teso-leaders-speak-on-Awoja/-/688334/1626288/-/kkqp5pz/-/index.html</v>
      </c>
    </row>
    <row r="1243" spans="1:4" ht="15">
      <c r="A1243" s="3" t="s">
        <v>529</v>
      </c>
      <c r="B1243" s="4" t="s">
        <v>3</v>
      </c>
      <c r="C1243" s="4" t="s">
        <v>734</v>
      </c>
      <c r="D1243" s="3" t="str">
        <f>HYPERLINK("http://www.newvision.co.ug/news/618592-heavy-rains-flood-three-bridges-in-lango-region.html")</f>
        <v>http://www.newvision.co.ug/news/618592-heavy-rains-flood-three-bridges-in-lango-region.html</v>
      </c>
    </row>
    <row r="1244" spans="1:4" ht="15">
      <c r="A1244" s="3" t="s">
        <v>529</v>
      </c>
      <c r="B1244" s="4" t="s">
        <v>432</v>
      </c>
      <c r="C1244" s="4" t="s">
        <v>603</v>
      </c>
      <c r="D1244" s="3" t="str">
        <f>HYPERLINK("http://www.monitor.co.ug/News/National/-/688334/1224250/-/bjvjtxz/-/index.html")</f>
        <v>http://www.monitor.co.ug/News/National/-/688334/1224250/-/bjvjtxz/-/index.html</v>
      </c>
    </row>
    <row r="1245" spans="1:4" ht="15">
      <c r="A1245" s="3" t="s">
        <v>529</v>
      </c>
      <c r="B1245" s="4" t="s">
        <v>306</v>
      </c>
      <c r="C1245" s="4" t="s">
        <v>473</v>
      </c>
      <c r="D1245" s="3" t="str">
        <f>HYPERLINK("http://www.newvision.co.ug/news/633376-delayed-tororo-mbale-soroti-road-to-cost-more-money.html")</f>
        <v>http://www.newvision.co.ug/news/633376-delayed-tororo-mbale-soroti-road-to-cost-more-money.html</v>
      </c>
    </row>
    <row r="1246" spans="1:4" ht="15">
      <c r="A1246" s="3" t="s">
        <v>529</v>
      </c>
      <c r="B1246" s="4" t="s">
        <v>476</v>
      </c>
      <c r="C1246" s="4" t="s">
        <v>563</v>
      </c>
      <c r="D1246" s="3" t="str">
        <f>HYPERLINK("http://www.newvision.co.ug/news/608218-floods-boost-fishing-in-kumi-soroti.html")</f>
        <v>http://www.newvision.co.ug/news/608218-floods-boost-fishing-in-kumi-soroti.html</v>
      </c>
    </row>
    <row r="1247" spans="1:4" ht="15">
      <c r="A1247" s="3" t="s">
        <v>529</v>
      </c>
      <c r="B1247" s="4" t="s">
        <v>533</v>
      </c>
      <c r="C1247" s="4" t="s">
        <v>563</v>
      </c>
      <c r="D1247" s="3" t="str">
        <f>HYPERLINK("http://www.newvision.co.ug/news/672770-el-nino-to-affect-uganda-and-10-other-african-countries.html")</f>
        <v>http://www.newvision.co.ug/news/672770-el-nino-to-affect-uganda-and-10-other-african-countries.html</v>
      </c>
    </row>
    <row r="1248" spans="1:4" ht="15">
      <c r="A1248" s="3" t="s">
        <v>529</v>
      </c>
      <c r="B1248" s="4" t="s">
        <v>32</v>
      </c>
      <c r="C1248" s="4" t="s">
        <v>128</v>
      </c>
      <c r="D1248" s="3" t="str">
        <f>HYPERLINK("http://www.monitor.co.ug/News/National/-/688334/787608/-/w0ro85/-/index.html")</f>
        <v>http://www.monitor.co.ug/News/National/-/688334/787608/-/w0ro85/-/index.html</v>
      </c>
    </row>
    <row r="1249" spans="1:4" ht="15">
      <c r="A1249" s="3" t="s">
        <v>529</v>
      </c>
      <c r="B1249" s="4" t="s">
        <v>32</v>
      </c>
      <c r="C1249" s="4" t="s">
        <v>563</v>
      </c>
      <c r="D1249" s="3" t="str">
        <f>HYPERLINK("http://www.monitor.co.ug/News/Education/-/688336/788086/-/10i5l1n/-/index.html")</f>
        <v>http://www.monitor.co.ug/News/Education/-/688336/788086/-/10i5l1n/-/index.html</v>
      </c>
    </row>
    <row r="1250" spans="1:4" ht="15">
      <c r="A1250" s="3" t="s">
        <v>529</v>
      </c>
      <c r="B1250" s="4" t="s">
        <v>100</v>
      </c>
      <c r="C1250" s="4" t="s">
        <v>603</v>
      </c>
      <c r="D1250" s="3" t="str">
        <f>HYPERLINK("http://www.monitor.co.ug/Magazines/Farming/-/689860/1079796/-/2ln09hz/-/index.html")</f>
        <v>http://www.monitor.co.ug/Magazines/Farming/-/689860/1079796/-/2ln09hz/-/index.html</v>
      </c>
    </row>
    <row r="1251" spans="1:4" ht="15">
      <c r="A1251" s="3" t="s">
        <v>529</v>
      </c>
      <c r="B1251" s="4" t="s">
        <v>530</v>
      </c>
      <c r="C1251" s="4" t="s">
        <v>620</v>
      </c>
      <c r="D1251" s="3" t="str">
        <f>HYPERLINK("http://www.monitor.co.ug/Business/Prosper/Govt-faces-fresh-challenges-in-developing-priority-sectors/-/688616/1414912/-/31n5ll/-/index.html")</f>
        <v>http://www.monitor.co.ug/Business/Prosper/Govt-faces-fresh-challenges-in-developing-priority-sectors/-/688616/1414912/-/31n5ll/-/index.html</v>
      </c>
    </row>
    <row r="1252" spans="1:4" ht="15">
      <c r="A1252" s="3" t="s">
        <v>529</v>
      </c>
      <c r="B1252" s="4" t="s">
        <v>433</v>
      </c>
      <c r="C1252" s="4" t="s">
        <v>128</v>
      </c>
      <c r="D1252" s="3" t="str">
        <f>HYPERLINK("http://www.monitor.co.ug/Business/Markets/-/688606/1297750/-/sovujj/-/index.html")</f>
        <v>http://www.monitor.co.ug/Business/Markets/-/688606/1297750/-/sovujj/-/index.html</v>
      </c>
    </row>
    <row r="1253" spans="1:4" ht="15">
      <c r="A1253" s="3" t="s">
        <v>529</v>
      </c>
      <c r="B1253" s="4" t="s">
        <v>21</v>
      </c>
      <c r="C1253" s="4" t="s">
        <v>550</v>
      </c>
      <c r="D1253" s="3" t="str">
        <f>HYPERLINK("http://www.monitor.co.ug/OpEd/OpEdColumnists/CharlesOnyangoObbo/-/878504/1227964/-/hoiv3u/-/index.html")</f>
        <v>http://www.monitor.co.ug/OpEd/OpEdColumnists/CharlesOnyangoObbo/-/878504/1227964/-/hoiv3u/-/index.html</v>
      </c>
    </row>
    <row r="1254" spans="1:4" ht="15">
      <c r="A1254" s="3" t="s">
        <v>529</v>
      </c>
      <c r="B1254" s="4" t="s">
        <v>418</v>
      </c>
      <c r="C1254" s="4" t="s">
        <v>446</v>
      </c>
      <c r="D1254" s="3" t="str">
        <f>HYPERLINK("http://www.monitor.co.ug/News/National/-/688334/1248194/-/bikpgfz/-/index.html")</f>
        <v>http://www.monitor.co.ug/News/National/-/688334/1248194/-/bikpgfz/-/index.html</v>
      </c>
    </row>
    <row r="1255" spans="1:4" ht="15">
      <c r="A1255" s="3" t="s">
        <v>529</v>
      </c>
      <c r="B1255" s="4" t="s">
        <v>418</v>
      </c>
      <c r="C1255" s="4" t="s">
        <v>786</v>
      </c>
      <c r="D1255" s="3" t="str">
        <f>HYPERLINK("http://www.newvision.co.ug/news/637754-no-money-to-combat-flood-impact.html")</f>
        <v>http://www.newvision.co.ug/news/637754-no-money-to-combat-flood-impact.html</v>
      </c>
    </row>
    <row r="1256" spans="1:4" ht="15">
      <c r="A1256" s="3" t="s">
        <v>529</v>
      </c>
      <c r="B1256" s="4" t="s">
        <v>5</v>
      </c>
      <c r="C1256" s="4" t="s">
        <v>473</v>
      </c>
      <c r="D1256" s="3" t="str">
        <f>HYPERLINK("http://www.newvision.co.ug/news/482360-cheptui-awoja-bridges-closed.html")</f>
        <v>http://www.newvision.co.ug/news/482360-cheptui-awoja-bridges-closed.html</v>
      </c>
    </row>
    <row r="1257" spans="1:4" ht="15">
      <c r="A1257" s="3" t="s">
        <v>529</v>
      </c>
      <c r="B1257" s="4" t="s">
        <v>5</v>
      </c>
      <c r="C1257" s="4" t="s">
        <v>563</v>
      </c>
      <c r="D1257" s="3" t="str">
        <f>HYPERLINK("http://www.monitor.co.ug/News/Education/-/688336/712708/-/10dps5l/-/index.html")</f>
        <v>http://www.monitor.co.ug/News/Education/-/688336/712708/-/10dps5l/-/index.html</v>
      </c>
    </row>
    <row r="1258" spans="1:4" ht="15">
      <c r="A1258" s="3" t="s">
        <v>529</v>
      </c>
      <c r="B1258" s="4" t="s">
        <v>5</v>
      </c>
      <c r="C1258" s="4" t="s">
        <v>529</v>
      </c>
      <c r="D1258" s="3" t="str">
        <f>HYPERLINK("http://www.monitor.co.ug/News/Education/-/688336/727792/-/10efsuk/-/index.html")</f>
        <v>http://www.monitor.co.ug/News/Education/-/688336/727792/-/10efsuk/-/index.html</v>
      </c>
    </row>
    <row r="1259" spans="1:4" ht="15">
      <c r="A1259" s="3" t="s">
        <v>534</v>
      </c>
      <c r="B1259" s="5">
        <v>39033</v>
      </c>
      <c r="C1259" s="4" t="s">
        <v>473</v>
      </c>
      <c r="D1259" s="3" t="str">
        <f>HYPERLINK("http://www.newvision.co.ug/news/454333-jinja-bugiri-highway-a-dusty-road-to-the-future.html")</f>
        <v>http://www.newvision.co.ug/news/454333-jinja-bugiri-highway-a-dusty-road-to-the-future.html</v>
      </c>
    </row>
    <row r="1260" spans="1:4" ht="15">
      <c r="A1260" s="3" t="s">
        <v>534</v>
      </c>
      <c r="B1260" s="5">
        <v>39783</v>
      </c>
      <c r="C1260" s="4" t="s">
        <v>796</v>
      </c>
      <c r="D1260" s="3" t="str">
        <f>HYPERLINK("http://www.monitor.co.ug/Business/Technology/-/688612/725362/-/tcorju/-/index.html")</f>
        <v>http://www.monitor.co.ug/Business/Technology/-/688612/725362/-/tcorju/-/index.html</v>
      </c>
    </row>
    <row r="1261" spans="1:4" ht="15">
      <c r="A1261" s="3" t="s">
        <v>534</v>
      </c>
      <c r="B1261" s="5">
        <v>39908</v>
      </c>
      <c r="C1261" s="4" t="s">
        <v>473</v>
      </c>
      <c r="D1261" s="3" t="str">
        <f>HYPERLINK("http://www.newvision.co.ug/news/570113-floods-destroy-tororo-mbale-bridge.html")</f>
        <v>http://www.newvision.co.ug/news/570113-floods-destroy-tororo-mbale-bridge.html</v>
      </c>
    </row>
    <row r="1262" spans="1:4" ht="15">
      <c r="A1262" s="3" t="s">
        <v>534</v>
      </c>
      <c r="B1262" s="5">
        <v>39908</v>
      </c>
      <c r="C1262" s="4" t="s">
        <v>473</v>
      </c>
      <c r="D1262" s="3" t="str">
        <f>HYPERLINK("http://www.newvision.co.ug/news/545173-floods-destroy-tororo-mbale-bridge.html")</f>
        <v>http://www.newvision.co.ug/news/545173-floods-destroy-tororo-mbale-bridge.html</v>
      </c>
    </row>
    <row r="1263" spans="1:4" ht="15">
      <c r="A1263" s="3" t="s">
        <v>534</v>
      </c>
      <c r="B1263" s="5">
        <v>40271</v>
      </c>
      <c r="C1263" s="4" t="s">
        <v>603</v>
      </c>
      <c r="D1263" s="3" t="str">
        <f>HYPERLINK("http://www.monitor.co.ug/News/National/-/688334/872878/-/wj5g7t/-/index.html")</f>
        <v>http://www.monitor.co.ug/News/National/-/688334/872878/-/wj5g7t/-/index.html</v>
      </c>
    </row>
    <row r="1264" spans="1:4" ht="15">
      <c r="A1264" s="3" t="s">
        <v>534</v>
      </c>
      <c r="B1264" s="5">
        <v>40271</v>
      </c>
      <c r="C1264" s="4" t="s">
        <v>563</v>
      </c>
      <c r="D1264" s="3" t="str">
        <f>HYPERLINK("http://www.monitor.co.ug/OpEd/Letters/-/806314/872724/-/2twa6fz/-/index.html")</f>
        <v>http://www.monitor.co.ug/OpEd/Letters/-/806314/872724/-/2twa6fz/-/index.html</v>
      </c>
    </row>
    <row r="1265" spans="1:4" ht="15">
      <c r="A1265" s="3" t="s">
        <v>534</v>
      </c>
      <c r="B1265" s="5">
        <v>40393</v>
      </c>
      <c r="C1265" s="4" t="s">
        <v>603</v>
      </c>
      <c r="D1265" s="3" t="str">
        <f>HYPERLINK("http://www.monitor.co.ug/News/National/-/688334/875014/-/wj7cq9/-/index.html")</f>
        <v>http://www.monitor.co.ug/News/National/-/688334/875014/-/wj7cq9/-/index.html</v>
      </c>
    </row>
    <row r="1266" spans="1:4" ht="15">
      <c r="A1266" s="3" t="s">
        <v>534</v>
      </c>
      <c r="B1266" s="5">
        <v>40394</v>
      </c>
      <c r="C1266" s="4" t="s">
        <v>603</v>
      </c>
      <c r="D1266" s="3" t="str">
        <f>HYPERLINK("http://www.newvision.co.ug/news/621646-news-in-brief.html")</f>
        <v>http://www.newvision.co.ug/news/621646-news-in-brief.html</v>
      </c>
    </row>
    <row r="1267" spans="1:4" ht="15">
      <c r="A1267" s="3" t="s">
        <v>534</v>
      </c>
      <c r="B1267" s="5">
        <v>40398</v>
      </c>
      <c r="C1267" s="4" t="s">
        <v>534</v>
      </c>
      <c r="D1267" s="3" t="str">
        <f>HYPERLINK("http://www.newvision.co.ug/news/613626-blocked-septic-tank-floods-tororo-market.html")</f>
        <v>http://www.newvision.co.ug/news/613626-blocked-septic-tank-floods-tororo-market.html</v>
      </c>
    </row>
    <row r="1268" spans="1:4" ht="15">
      <c r="A1268" s="3" t="s">
        <v>534</v>
      </c>
      <c r="B1268" s="5">
        <v>40456</v>
      </c>
      <c r="C1268" s="4" t="s">
        <v>603</v>
      </c>
      <c r="D1268" s="3" t="str">
        <f>HYPERLINK("http://www.monitor.co.ug/News/National/-/688334/915228/-/wykvp1/-/index.html")</f>
        <v>http://www.monitor.co.ug/News/National/-/688334/915228/-/wykvp1/-/index.html</v>
      </c>
    </row>
    <row r="1269" spans="1:4" ht="15">
      <c r="A1269" s="3" t="s">
        <v>534</v>
      </c>
      <c r="B1269" s="5">
        <v>40487</v>
      </c>
      <c r="C1269" s="4" t="s">
        <v>779</v>
      </c>
      <c r="D1269" s="3" t="str">
        <f>HYPERLINK("http://www.newvision.co.ug/news/619470-tororo-floods-displace-over-700.html")</f>
        <v>http://www.newvision.co.ug/news/619470-tororo-floods-displace-over-700.html</v>
      </c>
    </row>
    <row r="1270" spans="1:4" ht="15">
      <c r="A1270" s="3" t="s">
        <v>534</v>
      </c>
      <c r="B1270" s="5">
        <v>40515</v>
      </c>
      <c r="C1270" s="4" t="s">
        <v>603</v>
      </c>
      <c r="D1270" s="3" t="str">
        <f>HYPERLINK("http://www.monitor.co.ug/News/National/-/688334/877760/-/wj8w04/-/index.html")</f>
        <v>http://www.monitor.co.ug/News/National/-/688334/877760/-/wj8w04/-/index.html</v>
      </c>
    </row>
    <row r="1271" spans="1:4" ht="15">
      <c r="A1271" s="3" t="s">
        <v>534</v>
      </c>
      <c r="B1271" s="5">
        <v>40584</v>
      </c>
      <c r="C1271" s="4" t="s">
        <v>473</v>
      </c>
      <c r="D1271" s="3" t="str">
        <f>HYPERLINK("http://www.monitor.co.ug/Magazines/PeoplePower/-/689844/1245980/-/13w86vfz/-/index.html")</f>
        <v>http://www.monitor.co.ug/Magazines/PeoplePower/-/689844/1245980/-/13w86vfz/-/index.html</v>
      </c>
    </row>
    <row r="1272" spans="1:4" ht="15">
      <c r="A1272" s="3" t="s">
        <v>534</v>
      </c>
      <c r="B1272" s="5">
        <v>40695</v>
      </c>
      <c r="C1272" s="4" t="s">
        <v>473</v>
      </c>
      <c r="D1272" s="3" t="str">
        <f>HYPERLINK("http://www.monitor.co.ug/News/National/-/688334/1084564/-/cjcpk6z/-/index.html")</f>
        <v>http://www.monitor.co.ug/News/National/-/688334/1084564/-/cjcpk6z/-/index.html</v>
      </c>
    </row>
    <row r="1273" spans="1:4" ht="15">
      <c r="A1273" s="3" t="s">
        <v>534</v>
      </c>
      <c r="B1273" s="5">
        <v>41396</v>
      </c>
      <c r="C1273" s="4" t="s">
        <v>534</v>
      </c>
      <c r="D1273" s="3" t="str">
        <f>HYPERLINK("http://www.monitor.co.ug/Business/Prosper/Agriculture-insurance-is-a-national-necessity/-/688616/1684368/-/l8jhviz/-/index.html")</f>
        <v>http://www.monitor.co.ug/Business/Prosper/Agriculture-insurance-is-a-national-necessity/-/688616/1684368/-/l8jhviz/-/index.html</v>
      </c>
    </row>
    <row r="1274" spans="1:4" ht="15">
      <c r="A1274" s="3" t="s">
        <v>534</v>
      </c>
      <c r="B1274" s="5">
        <v>41552</v>
      </c>
      <c r="C1274" s="4" t="s">
        <v>473</v>
      </c>
      <c r="D1274" s="3" t="str">
        <f>HYPERLINK("http://www.newvision.co.ug/news/642531-floods-tororo-busia-road-closed.html")</f>
        <v>http://www.newvision.co.ug/news/642531-floods-tororo-busia-road-closed.html</v>
      </c>
    </row>
    <row r="1275" spans="1:4" ht="15">
      <c r="A1275" s="3" t="s">
        <v>534</v>
      </c>
      <c r="B1275" s="5">
        <v>41612</v>
      </c>
      <c r="C1275" s="4" t="s">
        <v>738</v>
      </c>
      <c r="D1275" s="3" t="str">
        <f>HYPERLINK("http://www.monitor.co.ug/News/National/Heavy-rains-in-Tororo--Kaboong-displace-450/-/688334/1745710/-/fxa75y/-/index.html")</f>
        <v>http://www.monitor.co.ug/News/National/Heavy-rains-in-Tororo--Kaboong-displace-450/-/688334/1745710/-/fxa75y/-/index.html</v>
      </c>
    </row>
    <row r="1276" spans="1:4" ht="15">
      <c r="A1276" s="3" t="s">
        <v>534</v>
      </c>
      <c r="B1276" s="5">
        <v>41978</v>
      </c>
      <c r="C1276" s="4" t="s">
        <v>797</v>
      </c>
      <c r="D1276" s="3" t="str">
        <f>HYPERLINK("http://www.monitor.co.ug/News/National/Govt-gets-Shs100b-for-Tororo-dam/-/688334/2311836/-/u0uh7s/-/index.html")</f>
        <v>http://www.monitor.co.ug/News/National/Govt-gets-Shs100b-for-Tororo-dam/-/688334/2311836/-/u0uh7s/-/index.html</v>
      </c>
    </row>
    <row r="1277" spans="1:4" ht="15">
      <c r="A1277" s="3" t="s">
        <v>534</v>
      </c>
      <c r="B1277" s="4" t="s">
        <v>110</v>
      </c>
      <c r="C1277" s="4" t="s">
        <v>586</v>
      </c>
      <c r="D1277" s="3" t="str">
        <f>HYPERLINK("http://www.monitor.co.ug/Magazines/Farming/The-mineral-that-boosts-soils-and-crop-yields/-/689860/2685582/-/j2edi8z/-/index.html")</f>
        <v>http://www.monitor.co.ug/Magazines/Farming/The-mineral-that-boosts-soils-and-crop-yields/-/689860/2685582/-/j2edi8z/-/index.html</v>
      </c>
    </row>
    <row r="1278" spans="1:4" ht="15">
      <c r="A1278" s="3" t="s">
        <v>534</v>
      </c>
      <c r="B1278" s="4" t="s">
        <v>422</v>
      </c>
      <c r="C1278" s="4" t="s">
        <v>799</v>
      </c>
      <c r="D1278" s="3" t="str">
        <f>HYPERLINK("http://www.newvision.co.ug/news/631090-floods-ravage-gardens-in-tororo.html")</f>
        <v>http://www.newvision.co.ug/news/631090-floods-ravage-gardens-in-tororo.html</v>
      </c>
    </row>
    <row r="1279" spans="1:4" ht="15">
      <c r="A1279" s="3" t="s">
        <v>534</v>
      </c>
      <c r="B1279" s="4" t="s">
        <v>453</v>
      </c>
      <c r="C1279" s="4" t="s">
        <v>460</v>
      </c>
      <c r="D1279" s="3" t="str">
        <f>HYPERLINK("http://www.newvision.co.ug/news/631150-floods-cut-off-import-entry-at-malaba.html")</f>
        <v>http://www.newvision.co.ug/news/631150-floods-cut-off-import-entry-at-malaba.html</v>
      </c>
    </row>
    <row r="1280" spans="1:4" ht="15">
      <c r="A1280" s="3" t="s">
        <v>534</v>
      </c>
      <c r="B1280" s="4" t="s">
        <v>102</v>
      </c>
      <c r="C1280" s="4" t="s">
        <v>473</v>
      </c>
      <c r="D1280" s="3" t="str">
        <f>HYPERLINK("http://www.monitor.co.ug/News/National/-/688334/1238644/-/bj75jvz/-/index.html")</f>
        <v>http://www.monitor.co.ug/News/National/-/688334/1238644/-/bj75jvz/-/index.html</v>
      </c>
    </row>
    <row r="1281" spans="1:4" ht="15">
      <c r="A1281" s="3" t="s">
        <v>534</v>
      </c>
      <c r="B1281" s="4" t="s">
        <v>535</v>
      </c>
      <c r="C1281" s="4" t="s">
        <v>798</v>
      </c>
      <c r="D1281" s="3" t="str">
        <f>HYPERLINK("http://www.newvision.co.ug/news/610610-heavy-rains-destroy-15-tororo-bridges.html")</f>
        <v>http://www.newvision.co.ug/news/610610-heavy-rains-destroy-15-tororo-bridges.html</v>
      </c>
    </row>
    <row r="1282" spans="1:4" ht="15">
      <c r="A1282" s="3" t="s">
        <v>534</v>
      </c>
      <c r="B1282" s="4" t="s">
        <v>217</v>
      </c>
      <c r="C1282" s="4" t="s">
        <v>473</v>
      </c>
      <c r="D1282" s="3" t="str">
        <f>HYPERLINK("http://www.newvision.co.ug/news/614670-students-drop-out-of-flooded-schools.html")</f>
        <v>http://www.newvision.co.ug/news/614670-students-drop-out-of-flooded-schools.html</v>
      </c>
    </row>
    <row r="1283" spans="1:4" ht="15">
      <c r="A1283" s="3" t="s">
        <v>534</v>
      </c>
      <c r="B1283" s="4" t="s">
        <v>14</v>
      </c>
      <c r="C1283" s="4" t="s">
        <v>534</v>
      </c>
      <c r="D1283" s="3" t="str">
        <f>HYPERLINK("http://www.monitor.co.ug/News/National/Pupils--teachers-flee-as-school-is-closed/-/688334/1756478/-/pmvk40/-/index.html")</f>
        <v>http://www.monitor.co.ug/News/National/Pupils--teachers-flee-as-school-is-closed/-/688334/1756478/-/pmvk40/-/index.html</v>
      </c>
    </row>
    <row r="1284" spans="1:4" ht="15">
      <c r="A1284" s="3" t="s">
        <v>534</v>
      </c>
      <c r="B1284" s="4" t="s">
        <v>86</v>
      </c>
      <c r="C1284" s="4" t="s">
        <v>473</v>
      </c>
      <c r="D1284" s="3" t="str">
        <f>HYPERLINK("http://www.monitor.co.ug/Business/Prosper/Economic-crisis-affects-vermiculite-exports/-/688616/1515808/-/12e79vm/-/index.html")</f>
        <v>http://www.monitor.co.ug/Business/Prosper/Economic-crisis-affects-vermiculite-exports/-/688616/1515808/-/12e79vm/-/index.html</v>
      </c>
    </row>
    <row r="1285" spans="1:4" ht="15">
      <c r="A1285" s="3" t="s">
        <v>534</v>
      </c>
      <c r="B1285" s="4" t="s">
        <v>536</v>
      </c>
      <c r="C1285" s="4" t="s">
        <v>534</v>
      </c>
      <c r="D1285" s="3" t="str">
        <f>HYPERLINK("http://www.monitor.co.ug/SpecialReports/Butaleja-Dsitrict--From-troubling-starvation/-/688342/2090774/-/lo29re/-/index.html")</f>
        <v>http://www.monitor.co.ug/SpecialReports/Butaleja-Dsitrict--From-troubling-starvation/-/688342/2090774/-/lo29re/-/index.html</v>
      </c>
    </row>
    <row r="1286" spans="1:4" ht="15">
      <c r="A1286" s="3" t="s">
        <v>534</v>
      </c>
      <c r="B1286" s="4" t="s">
        <v>32</v>
      </c>
      <c r="C1286" s="4" t="s">
        <v>534</v>
      </c>
      <c r="D1286" s="3" t="str">
        <f>HYPERLINK("http://www.monitor.co.ug/News/Education/-/688336/788872/-/10i5rab/-/index.html")</f>
        <v>http://www.monitor.co.ug/News/Education/-/688336/788872/-/10i5rab/-/index.html</v>
      </c>
    </row>
    <row r="1287" spans="1:4" ht="15">
      <c r="A1287" s="3" t="s">
        <v>534</v>
      </c>
      <c r="B1287" s="4" t="s">
        <v>537</v>
      </c>
      <c r="C1287" s="4" t="s">
        <v>473</v>
      </c>
      <c r="D1287" s="3" t="str">
        <f>HYPERLINK("http://www.monitor.co.ug/News/National/UNRA-builds-alternative-bridge-at-Malaba/-/688334/2605374/-/127g3a4z/-/index.html")</f>
        <v>http://www.monitor.co.ug/News/National/UNRA-builds-alternative-bridge-at-Malaba/-/688334/2605374/-/127g3a4z/-/index.html</v>
      </c>
    </row>
    <row r="1288" spans="1:4" ht="15">
      <c r="A1288" s="3" t="s">
        <v>534</v>
      </c>
      <c r="B1288" s="4" t="s">
        <v>199</v>
      </c>
      <c r="C1288" s="4" t="s">
        <v>602</v>
      </c>
      <c r="D1288" s="3" t="str">
        <f>HYPERLINK("http://www.newvision.co.ug/news/622325-tororo-archdiocese-prays-for-bududa-residents.html")</f>
        <v>http://www.newvision.co.ug/news/622325-tororo-archdiocese-prays-for-bududa-residents.html</v>
      </c>
    </row>
    <row r="1289" spans="1:4" ht="15">
      <c r="A1289" s="3" t="s">
        <v>534</v>
      </c>
      <c r="B1289" s="4" t="s">
        <v>530</v>
      </c>
      <c r="C1289" s="4" t="s">
        <v>620</v>
      </c>
      <c r="D1289" s="3" t="str">
        <f>HYPERLINK("http://www.monitor.co.ug/Business/Prosper/Govt-faces-fresh-challenges-in-developing-priority-sectors/-/688616/1414912/-/31n5ll/-/index.html")</f>
        <v>http://www.monitor.co.ug/Business/Prosper/Govt-faces-fresh-challenges-in-developing-priority-sectors/-/688616/1414912/-/31n5ll/-/index.html</v>
      </c>
    </row>
    <row r="1290" spans="1:4" ht="15">
      <c r="A1290" s="3" t="s">
        <v>534</v>
      </c>
      <c r="B1290" s="4" t="s">
        <v>21</v>
      </c>
      <c r="C1290" s="4" t="s">
        <v>550</v>
      </c>
      <c r="D1290" s="3" t="str">
        <f>HYPERLINK("http://www.monitor.co.ug/OpEd/OpEdColumnists/CharlesOnyangoObbo/-/878504/1227964/-/hoiv3u/-/index.html")</f>
        <v>http://www.monitor.co.ug/OpEd/OpEdColumnists/CharlesOnyangoObbo/-/878504/1227964/-/hoiv3u/-/index.html</v>
      </c>
    </row>
    <row r="1291" spans="1:4" ht="15">
      <c r="A1291" s="3" t="s">
        <v>538</v>
      </c>
      <c r="B1291" s="5">
        <v>40271</v>
      </c>
      <c r="C1291" s="4" t="s">
        <v>605</v>
      </c>
      <c r="D1291" s="3" t="str">
        <f>HYPERLINK("http://www.monitor.co.ug/OpEd/Commentary/-/689364/872706/-/aho0pgz/-/index.html")</f>
        <v>http://www.monitor.co.ug/OpEd/Commentary/-/689364/872706/-/aho0pgz/-/index.html</v>
      </c>
    </row>
    <row r="1292" spans="1:4" ht="15">
      <c r="A1292" s="3" t="s">
        <v>538</v>
      </c>
      <c r="B1292" s="5">
        <v>40333</v>
      </c>
      <c r="C1292" s="4" t="s">
        <v>582</v>
      </c>
      <c r="D1292" s="3" t="str">
        <f>HYPERLINK("http://www.monitor.co.ug/Business/Prosper/-/688616/893144/-/jfj6t2z/-/index.html")</f>
        <v>http://www.monitor.co.ug/Business/Prosper/-/688616/893144/-/jfj6t2z/-/index.html</v>
      </c>
    </row>
    <row r="1293" spans="1:4" ht="15">
      <c r="A1293" s="3" t="s">
        <v>538</v>
      </c>
      <c r="B1293" s="5">
        <v>40454</v>
      </c>
      <c r="C1293" s="4" t="s">
        <v>569</v>
      </c>
      <c r="D1293" s="3" t="str">
        <f>HYPERLINK("http://www.monitor.co.ug/Magazines/Farming/-/689860/875928/-/wufp6q/-/index.html")</f>
        <v>http://www.monitor.co.ug/Magazines/Farming/-/689860/875928/-/wufp6q/-/index.html</v>
      </c>
    </row>
    <row r="1294" spans="1:4" ht="15">
      <c r="A1294" s="3" t="s">
        <v>538</v>
      </c>
      <c r="B1294" s="5">
        <v>40456</v>
      </c>
      <c r="C1294" s="4" t="s">
        <v>647</v>
      </c>
      <c r="D1294" s="3" t="str">
        <f>HYPERLINK("http://www.monitor.co.ug/News/National/-/688334/915286/-/wykvua/-/index.html")</f>
        <v>http://www.monitor.co.ug/News/National/-/688334/915286/-/wykvua/-/index.html</v>
      </c>
    </row>
    <row r="1295" spans="1:4" ht="15">
      <c r="A1295" s="3" t="s">
        <v>538</v>
      </c>
      <c r="B1295" s="5">
        <v>40485</v>
      </c>
      <c r="C1295" s="4" t="s">
        <v>603</v>
      </c>
      <c r="D1295" s="3" t="str">
        <f>HYPERLINK("http://www.monitor.co.ug/OpEd/Letters/-/806314/876854/-/2tth1mz/-/index.html")</f>
        <v>http://www.monitor.co.ug/OpEd/Letters/-/806314/876854/-/2tth1mz/-/index.html</v>
      </c>
    </row>
    <row r="1296" spans="1:4" ht="15">
      <c r="A1296" s="3" t="s">
        <v>538</v>
      </c>
      <c r="B1296" s="5">
        <v>40485</v>
      </c>
      <c r="C1296" s="4" t="s">
        <v>128</v>
      </c>
      <c r="D1296" s="3" t="str">
        <f>HYPERLINK("http://www.monitor.co.ug/OpEd/OpEdColumnists/KaroliSsemogerere/-/878682/876882/-/bnqsu8/-/index.html")</f>
        <v>http://www.monitor.co.ug/OpEd/OpEdColumnists/KaroliSsemogerere/-/878682/876882/-/bnqsu8/-/index.html</v>
      </c>
    </row>
    <row r="1297" spans="1:4" ht="15">
      <c r="A1297" s="3" t="s">
        <v>538</v>
      </c>
      <c r="B1297" s="5">
        <v>40636</v>
      </c>
      <c r="C1297" s="4" t="s">
        <v>726</v>
      </c>
      <c r="D1297" s="3" t="str">
        <f>HYPERLINK("http://www.monitor.co.ug/OpEd/Commentary/-/689364/1118904/-/13coff4z/-/index.html")</f>
        <v>http://www.monitor.co.ug/OpEd/Commentary/-/689364/1118904/-/13coff4z/-/index.html</v>
      </c>
    </row>
    <row r="1298" spans="1:4" ht="15">
      <c r="A1298" s="3" t="s">
        <v>538</v>
      </c>
      <c r="B1298" s="5">
        <v>40644</v>
      </c>
      <c r="C1298" s="4" t="s">
        <v>686</v>
      </c>
      <c r="D1298" s="3" t="str">
        <f>HYPERLINK("http://www.newvision.co.ug/news/18911-floods-paralyse-kampala-traffic.html")</f>
        <v>http://www.newvision.co.ug/news/18911-floods-paralyse-kampala-traffic.html</v>
      </c>
    </row>
    <row r="1299" spans="1:4" ht="15">
      <c r="A1299" s="3" t="s">
        <v>538</v>
      </c>
      <c r="B1299" s="5">
        <v>40670</v>
      </c>
      <c r="C1299" s="4" t="s">
        <v>550</v>
      </c>
      <c r="D1299" s="3" t="str">
        <f>HYPERLINK("http://www.monitor.co.ug/OpEd/Commentary/-/689364/1194364/-/137u13pz/-/index.html")</f>
        <v>http://www.monitor.co.ug/OpEd/Commentary/-/689364/1194364/-/137u13pz/-/index.html</v>
      </c>
    </row>
    <row r="1300" spans="1:4" ht="15">
      <c r="A1300" s="3" t="s">
        <v>538</v>
      </c>
      <c r="B1300" s="5">
        <v>40670</v>
      </c>
      <c r="C1300" s="4" t="s">
        <v>505</v>
      </c>
      <c r="D1300" s="3" t="str">
        <f>HYPERLINK("http://www.monitor.co.ug/News/National/-/688334/1195204/-/bymt4mz/-/index.html")</f>
        <v>http://www.monitor.co.ug/News/National/-/688334/1195204/-/bymt4mz/-/index.html</v>
      </c>
    </row>
    <row r="1301" spans="1:4" ht="15">
      <c r="A1301" s="3" t="s">
        <v>538</v>
      </c>
      <c r="B1301" s="5">
        <v>40730</v>
      </c>
      <c r="C1301" s="4" t="s">
        <v>571</v>
      </c>
      <c r="D1301" s="3" t="str">
        <f>HYPERLINK("http://www.monitor.co.ug/News/National/-/688334/1176454/-/c0u5vqz/-/index.html")</f>
        <v>http://www.monitor.co.ug/News/National/-/688334/1176454/-/c0u5vqz/-/index.html</v>
      </c>
    </row>
    <row r="1302" spans="1:4" ht="15">
      <c r="A1302" s="3" t="s">
        <v>538</v>
      </c>
      <c r="B1302" s="5">
        <v>40826</v>
      </c>
      <c r="C1302" s="4" t="s">
        <v>128</v>
      </c>
      <c r="D1302" s="3" t="str">
        <f>HYPERLINK("http://www.monitor.co.ug/News/National/-/688334/1252916/-/bi36eiz/-/index.html")</f>
        <v>http://www.monitor.co.ug/News/National/-/688334/1252916/-/bi36eiz/-/index.html</v>
      </c>
    </row>
    <row r="1303" spans="1:4" ht="15">
      <c r="A1303" s="3" t="s">
        <v>538</v>
      </c>
      <c r="B1303" s="5">
        <v>40852</v>
      </c>
      <c r="C1303" s="4" t="s">
        <v>726</v>
      </c>
      <c r="D1303" s="3" t="str">
        <f>HYPERLINK("http://www.monitor.co.ug/News/National/-/688334/1160034/-/c1kxvoz/-/index.html")</f>
        <v>http://www.monitor.co.ug/News/National/-/688334/1160034/-/c1kxvoz/-/index.html</v>
      </c>
    </row>
    <row r="1304" spans="1:4" ht="15">
      <c r="A1304" s="3" t="s">
        <v>538</v>
      </c>
      <c r="B1304" s="5">
        <v>40917</v>
      </c>
      <c r="C1304" s="4" t="s">
        <v>493</v>
      </c>
      <c r="D1304" s="3" t="str">
        <f>HYPERLINK("http://www.monitor.co.ug/SpecialReports/Who-is-to-blame-for-continuous-environment-degradation-/-/688342/1491626/-/pq6t06z/-/index.html")</f>
        <v>http://www.monitor.co.ug/SpecialReports/Who-is-to-blame-for-continuous-environment-degradation-/-/688342/1491626/-/pq6t06z/-/index.html</v>
      </c>
    </row>
    <row r="1305" spans="1:4" ht="15">
      <c r="A1305" s="3" t="s">
        <v>538</v>
      </c>
      <c r="B1305" s="5">
        <v>41034</v>
      </c>
      <c r="C1305" s="4" t="s">
        <v>581</v>
      </c>
      <c r="D1305" s="3" t="str">
        <f>HYPERLINK("http://www.monitor.co.ug/News/National/Uganda-s-best-and-worst-employers/-/688334/1399618/-/jv4g4ez/-/index.html")</f>
        <v>http://www.monitor.co.ug/News/National/Uganda-s-best-and-worst-employers/-/688334/1399618/-/jv4g4ez/-/index.html</v>
      </c>
    </row>
    <row r="1306" spans="1:4" ht="15">
      <c r="A1306" s="3" t="s">
        <v>538</v>
      </c>
      <c r="B1306" s="5">
        <v>41069</v>
      </c>
      <c r="C1306" s="4" t="s">
        <v>726</v>
      </c>
      <c r="D1306" s="3" t="str">
        <f>HYPERLINK("http://www.newvision.co.ug/news/634959-move-some-ministries-out-of-kampala.html")</f>
        <v>http://www.newvision.co.ug/news/634959-move-some-ministries-out-of-kampala.html</v>
      </c>
    </row>
    <row r="1307" spans="1:4" ht="15">
      <c r="A1307" s="3" t="s">
        <v>538</v>
      </c>
      <c r="B1307" s="5">
        <v>41095</v>
      </c>
      <c r="C1307" s="4" t="s">
        <v>726</v>
      </c>
      <c r="D1307" s="3" t="str">
        <f>HYPERLINK("http://www.monitor.co.ug/News/National/Company-sues-electoral-body-over-alleged-contract-breach/-/688334/1400826/-/tkfkm0z/-/index.html")</f>
        <v>http://www.monitor.co.ug/News/National/Company-sues-electoral-body-over-alleged-contract-breach/-/688334/1400826/-/tkfkm0z/-/index.html</v>
      </c>
    </row>
    <row r="1308" spans="1:4" ht="15">
      <c r="A1308" s="3" t="s">
        <v>538</v>
      </c>
      <c r="B1308" s="5">
        <v>41309</v>
      </c>
      <c r="C1308" s="4" t="s">
        <v>665</v>
      </c>
      <c r="D1308" s="3" t="str">
        <f>HYPERLINK("http://www.monitor.co.ug/News/National/KCCA--city-musicians-plan-meeting/-/688334/1736462/-/kb77ip/-/index.html")</f>
        <v>http://www.monitor.co.ug/News/National/KCCA--city-musicians-plan-meeting/-/688334/1736462/-/kb77ip/-/index.html</v>
      </c>
    </row>
    <row r="1309" spans="1:4" ht="15">
      <c r="A1309" s="3" t="s">
        <v>538</v>
      </c>
      <c r="B1309" s="5">
        <v>41313</v>
      </c>
      <c r="C1309" s="4" t="s">
        <v>726</v>
      </c>
      <c r="D1309" s="3" t="str">
        <f>HYPERLINK("http://www.monitor.co.ug/OpEd/Letters/Weather-forecasts--Stop-misleading-us/-/806314/1934088/-/xmdcu/-/index.html")</f>
        <v>http://www.monitor.co.ug/OpEd/Letters/Weather-forecasts--Stop-misleading-us/-/806314/1934088/-/xmdcu/-/index.html</v>
      </c>
    </row>
    <row r="1310" spans="1:4" ht="15">
      <c r="A1310" s="3" t="s">
        <v>538</v>
      </c>
      <c r="B1310" s="5">
        <v>41334</v>
      </c>
      <c r="C1310" s="4" t="s">
        <v>407</v>
      </c>
      <c r="D1310" s="3" t="str">
        <f>HYPERLINK("http://www.monitor.co.ug/Business/Markets/Transport-posts-few-milestones/-/688606/1656056/-/7og9nvz/-/index.html")</f>
        <v>http://www.monitor.co.ug/Business/Markets/Transport-posts-few-milestones/-/688606/1656056/-/7og9nvz/-/index.html</v>
      </c>
    </row>
    <row r="1311" spans="1:4" ht="15">
      <c r="A1311" s="3" t="s">
        <v>538</v>
      </c>
      <c r="B1311" s="5">
        <v>41426</v>
      </c>
      <c r="C1311" s="4" t="s">
        <v>493</v>
      </c>
      <c r="D1311" s="3" t="str">
        <f>HYPERLINK("http://www.monitor.co.ug/Magazines/PeoplePower/UNRA--No-cash-for-600km-of-roads/-/689844/1657992/-/wbjghi/-/index.html")</f>
        <v>http://www.monitor.co.ug/Magazines/PeoplePower/UNRA--No-cash-for-600km-of-roads/-/689844/1657992/-/wbjghi/-/index.html</v>
      </c>
    </row>
    <row r="1312" spans="1:4" ht="15">
      <c r="A1312" s="3" t="s">
        <v>538</v>
      </c>
      <c r="B1312" s="5">
        <v>41493</v>
      </c>
      <c r="C1312" s="4" t="s">
        <v>571</v>
      </c>
      <c r="D1312" s="3" t="str">
        <f>HYPERLINK("http://www.monitor.co.ug/OpEd/Editorial/Monitor-wetland-activities-closely/-/689360/1908272/-/wurjd5z/-/index.html")</f>
        <v>http://www.monitor.co.ug/OpEd/Editorial/Monitor-wetland-activities-closely/-/689360/1908272/-/wurjd5z/-/index.html</v>
      </c>
    </row>
    <row r="1313" spans="1:4" ht="15">
      <c r="A1313" s="3" t="s">
        <v>538</v>
      </c>
      <c r="B1313" s="5">
        <v>41679</v>
      </c>
      <c r="C1313" s="4" t="s">
        <v>726</v>
      </c>
      <c r="D1313" s="3" t="str">
        <f>HYPERLINK("http://www.monitor.co.ug/News/National/Flooded-river-disrupts-transport--destroys-crops/-/688334/2437670/-/4u3im7/-/index.html")</f>
        <v>http://www.monitor.co.ug/News/National/Flooded-river-disrupts-transport--destroys-crops/-/688334/2437670/-/4u3im7/-/index.html</v>
      </c>
    </row>
    <row r="1314" spans="1:4" ht="15">
      <c r="A1314" s="3" t="s">
        <v>538</v>
      </c>
      <c r="B1314" s="5">
        <v>41734</v>
      </c>
      <c r="C1314" s="4" t="s">
        <v>726</v>
      </c>
      <c r="D1314" s="3" t="str">
        <f>HYPERLINK("http://www.monitor.co.ug/Magazines/PeoplePower/Flyover-won-t-decongest-Kampala-city/-/689844/2302210/-/mvret3/-/index.html")</f>
        <v>http://www.monitor.co.ug/Magazines/PeoplePower/Flyover-won-t-decongest-Kampala-city/-/689844/2302210/-/mvret3/-/index.html</v>
      </c>
    </row>
    <row r="1315" spans="1:4" ht="15">
      <c r="A1315" s="3" t="s">
        <v>538</v>
      </c>
      <c r="B1315" s="5">
        <v>41764</v>
      </c>
      <c r="C1315" s="4" t="s">
        <v>562</v>
      </c>
      <c r="D1315" s="3" t="str">
        <f>HYPERLINK("http://www.monitor.co.ug/News/National/KCCA-plans-to-ban-boda-bodas-from-city-centre/-/688334/2303590/-/3iqq6x/-/index.html")</f>
        <v>http://www.monitor.co.ug/News/National/KCCA-plans-to-ban-boda-bodas-from-city-centre/-/688334/2303590/-/3iqq6x/-/index.html</v>
      </c>
    </row>
    <row r="1316" spans="1:4" ht="15">
      <c r="A1316" s="3" t="s">
        <v>538</v>
      </c>
      <c r="B1316" s="5">
        <v>41860</v>
      </c>
      <c r="C1316" s="4" t="s">
        <v>128</v>
      </c>
      <c r="D1316" s="3" t="str">
        <f>HYPERLINK("http://www.monitor.co.ug/News/National/Hundreds-displaced-as-rains-pound-Albetong/-/688334/2444408/-/l5aob4/-/index.html")</f>
        <v>http://www.monitor.co.ug/News/National/Hundreds-displaced-as-rains-pound-Albetong/-/688334/2444408/-/l5aob4/-/index.html</v>
      </c>
    </row>
    <row r="1317" spans="1:4" ht="15">
      <c r="A1317" s="3" t="s">
        <v>538</v>
      </c>
      <c r="B1317" s="5">
        <v>41952</v>
      </c>
      <c r="C1317" s="4" t="s">
        <v>563</v>
      </c>
      <c r="D1317" s="3" t="str">
        <f>HYPERLINK("http://www.monitor.co.ug/News/National/Kumi-schools-fail-to-open-over-heavy-rains/-/688334/2448280/-/8soa3hz/-/index.html")</f>
        <v>http://www.monitor.co.ug/News/National/Kumi-schools-fail-to-open-over-heavy-rains/-/688334/2448280/-/8soa3hz/-/index.html</v>
      </c>
    </row>
    <row r="1318" spans="1:4" ht="15">
      <c r="A1318" s="3" t="s">
        <v>538</v>
      </c>
      <c r="B1318" s="5">
        <v>42011</v>
      </c>
      <c r="C1318" s="4" t="s">
        <v>726</v>
      </c>
      <c r="D1318" s="3" t="str">
        <f>HYPERLINK("http://www.monitor.co.ug/Magazines/HomesandProperty/Dealing-fraudsters-real-estate/-/689858/2770350/-/106kywz/-/index.html")</f>
        <v>http://www.monitor.co.ug/Magazines/HomesandProperty/Dealing-fraudsters-real-estate/-/689858/2770350/-/106kywz/-/index.html</v>
      </c>
    </row>
    <row r="1319" spans="1:4" ht="15">
      <c r="A1319" s="3" t="s">
        <v>538</v>
      </c>
      <c r="B1319" s="5">
        <v>42314</v>
      </c>
      <c r="C1319" s="4" t="s">
        <v>128</v>
      </c>
      <c r="D1319" s="3" t="str">
        <f>HYPERLINK("http://www.monitor.co.ug/OpEd/OpEdColumnists/KaroliSsemogerere/need-legislation-clean-air-clean-water/-/878682/2747162/-/rbu6xp/-/index.html")</f>
        <v>http://www.monitor.co.ug/OpEd/OpEdColumnists/KaroliSsemogerere/need-legislation-clean-air-clean-water/-/878682/2747162/-/rbu6xp/-/index.html</v>
      </c>
    </row>
    <row r="1320" spans="1:4" ht="15">
      <c r="A1320" s="3" t="s">
        <v>538</v>
      </c>
      <c r="B1320" s="5">
        <v>42314</v>
      </c>
      <c r="C1320" s="4" t="s">
        <v>693</v>
      </c>
      <c r="D1320" s="3" t="str">
        <f>HYPERLINK("http://www.newvision.co.ug/news/669649-kcca-to-evict-encroachers-from-waterways.html")</f>
        <v>http://www.newvision.co.ug/news/669649-kcca-to-evict-encroachers-from-waterways.html</v>
      </c>
    </row>
    <row r="1321" spans="1:4" ht="15">
      <c r="A1321" s="3" t="s">
        <v>538</v>
      </c>
      <c r="B1321" s="4" t="s">
        <v>540</v>
      </c>
      <c r="C1321" s="4" t="s">
        <v>642</v>
      </c>
      <c r="D1321" s="3" t="str">
        <f>HYPERLINK("http://www.monitor.co.ug/Magazines/Life/-/689856/760986/-/10tstp0z/-/index.html")</f>
        <v>http://www.monitor.co.ug/Magazines/Life/-/689856/760986/-/10tstp0z/-/index.html</v>
      </c>
    </row>
    <row r="1322" spans="1:4" ht="15">
      <c r="A1322" s="3" t="s">
        <v>538</v>
      </c>
      <c r="B1322" s="4" t="s">
        <v>262</v>
      </c>
      <c r="C1322" s="4" t="s">
        <v>128</v>
      </c>
      <c r="D1322" s="3" t="str">
        <f>HYPERLINK("http://www.monitor.co.ug/News/National/-/688334/1236360/-/bj8lhxz/-/index.html")</f>
        <v>http://www.monitor.co.ug/News/National/-/688334/1236360/-/bj8lhxz/-/index.html</v>
      </c>
    </row>
    <row r="1323" spans="1:4" ht="15">
      <c r="A1323" s="3" t="s">
        <v>538</v>
      </c>
      <c r="B1323" s="4" t="s">
        <v>157</v>
      </c>
      <c r="C1323" s="4" t="s">
        <v>128</v>
      </c>
      <c r="D1323" s="3" t="str">
        <f>HYPERLINK("http://www.monitor.co.ug/News/Education/-/688336/728960/-/10egjnx/-/index.html")</f>
        <v>http://www.monitor.co.ug/News/Education/-/688336/728960/-/10egjnx/-/index.html</v>
      </c>
    </row>
    <row r="1324" spans="1:4" ht="15">
      <c r="A1324" s="3" t="s">
        <v>538</v>
      </c>
      <c r="B1324" s="4" t="s">
        <v>115</v>
      </c>
      <c r="C1324" s="4" t="s">
        <v>658</v>
      </c>
      <c r="D1324" s="3" t="str">
        <f>HYPERLINK("http://www.monitor.co.ug/News/National/-/688334/1236614/-/bj8j9vz/-/index.html")</f>
        <v>http://www.monitor.co.ug/News/National/-/688334/1236614/-/bj8j9vz/-/index.html</v>
      </c>
    </row>
    <row r="1325" spans="1:4" ht="15">
      <c r="A1325" s="3" t="s">
        <v>538</v>
      </c>
      <c r="B1325" s="4" t="s">
        <v>43</v>
      </c>
      <c r="C1325" s="4" t="s">
        <v>726</v>
      </c>
      <c r="D1325" s="3" t="str">
        <f>HYPERLINK("http://www.monitor.co.ug/News/National/Museveni-grants-new-MP-slot-to-Ntoroko/-/688334/2075130/-/15bgf11z/-/index.html")</f>
        <v>http://www.monitor.co.ug/News/National/Museveni-grants-new-MP-slot-to-Ntoroko/-/688334/2075130/-/15bgf11z/-/index.html</v>
      </c>
    </row>
    <row r="1326" spans="1:4" ht="15">
      <c r="A1326" s="3" t="s">
        <v>538</v>
      </c>
      <c r="B1326" s="4" t="s">
        <v>541</v>
      </c>
      <c r="C1326" s="4" t="s">
        <v>726</v>
      </c>
      <c r="D1326" s="3" t="str">
        <f>HYPERLINK("http://www.newvision.co.ug/news/327832-museveni-predicts-landslide-victory.html")</f>
        <v>http://www.newvision.co.ug/news/327832-museveni-predicts-landslide-victory.html</v>
      </c>
    </row>
    <row r="1327" spans="1:4" ht="15">
      <c r="A1327" s="3" t="s">
        <v>538</v>
      </c>
      <c r="B1327" s="4" t="s">
        <v>362</v>
      </c>
      <c r="C1327" s="4" t="s">
        <v>643</v>
      </c>
      <c r="D1327" s="3" t="str">
        <f>HYPERLINK("http://www.monitor.co.ug/Magazines/PeoplePower/You-reap-what-you-sow--Bukenya-tells-Mbabazi/-/689844/2245744/-/fwbvw1/-/index.html")</f>
        <v>http://www.monitor.co.ug/Magazines/PeoplePower/You-reap-what-you-sow--Bukenya-tells-Mbabazi/-/689844/2245744/-/fwbvw1/-/index.html</v>
      </c>
    </row>
    <row r="1328" spans="1:4" ht="15">
      <c r="A1328" s="3" t="s">
        <v>538</v>
      </c>
      <c r="B1328" s="4" t="s">
        <v>543</v>
      </c>
      <c r="C1328" s="4" t="s">
        <v>789</v>
      </c>
      <c r="D1328" s="3" t="str">
        <f>HYPERLINK("http://www.monitor.co.ug/News/National/Entebbe-schools-stopped-from-reopening-over-spilling-sewage/-/688334/1480340/-/pd88awz/-/index.html")</f>
        <v>http://www.monitor.co.ug/News/National/Entebbe-schools-stopped-from-reopening-over-spilling-sewage/-/688334/1480340/-/pd88awz/-/index.html</v>
      </c>
    </row>
    <row r="1329" spans="1:4" ht="15">
      <c r="A1329" s="3" t="s">
        <v>538</v>
      </c>
      <c r="B1329" s="4" t="s">
        <v>263</v>
      </c>
      <c r="C1329" s="4" t="s">
        <v>562</v>
      </c>
      <c r="D1329" s="3" t="str">
        <f>HYPERLINK("http://www.monitor.co.ug/OpEd/Editorial/-/689360/1237048/-/a15ijm/-/index.html")</f>
        <v>http://www.monitor.co.ug/OpEd/Editorial/-/689360/1237048/-/a15ijm/-/index.html</v>
      </c>
    </row>
    <row r="1330" spans="1:4" ht="15">
      <c r="A1330" s="3" t="s">
        <v>538</v>
      </c>
      <c r="B1330" s="4" t="s">
        <v>64</v>
      </c>
      <c r="C1330" s="4" t="s">
        <v>603</v>
      </c>
      <c r="D1330" s="3" t="str">
        <f>HYPERLINK("http://www.monitor.co.ug/News/National/Residents-flee-landslide-prone-areas/-/688334/2453480/-/4dynt5/-/index.html")</f>
        <v>http://www.monitor.co.ug/News/National/Residents-flee-landslide-prone-areas/-/688334/2453480/-/4dynt5/-/index.html</v>
      </c>
    </row>
    <row r="1331" spans="1:4" ht="15">
      <c r="A1331" s="3" t="s">
        <v>538</v>
      </c>
      <c r="B1331" s="4" t="s">
        <v>367</v>
      </c>
      <c r="C1331" s="4" t="s">
        <v>603</v>
      </c>
      <c r="D1331" s="3" t="str">
        <f>HYPERLINK("http://www.newvision.co.ug/news/654641-rainy-season-nema-warns-of-severe-disasters.html")</f>
        <v>http://www.newvision.co.ug/news/654641-rainy-season-nema-warns-of-severe-disasters.html</v>
      </c>
    </row>
    <row r="1332" spans="1:4" ht="15">
      <c r="A1332" s="3" t="s">
        <v>538</v>
      </c>
      <c r="B1332" s="4" t="s">
        <v>219</v>
      </c>
      <c r="C1332" s="4" t="s">
        <v>128</v>
      </c>
      <c r="D1332" s="3" t="str">
        <f>HYPERLINK("http://www.monitor.co.ug/Business/Prosper/-/688616/977532/-/iwlnhdz/-/index.html")</f>
        <v>http://www.monitor.co.ug/Business/Prosper/-/688616/977532/-/iwlnhdz/-/index.html</v>
      </c>
    </row>
    <row r="1333" spans="1:4" ht="15">
      <c r="A1333" s="3" t="s">
        <v>538</v>
      </c>
      <c r="B1333" s="4" t="s">
        <v>93</v>
      </c>
      <c r="C1333" s="4" t="s">
        <v>654</v>
      </c>
      <c r="D1333" s="3" t="str">
        <f>HYPERLINK("http://www.monitor.co.ug/Business/Auto/Beware-of--deadly--routes/-/688614/2559930/-/12muu3z/-/index.html")</f>
        <v>http://www.monitor.co.ug/Business/Auto/Beware-of--deadly--routes/-/688614/2559930/-/12muu3z/-/index.html</v>
      </c>
    </row>
    <row r="1334" spans="1:4" ht="15">
      <c r="A1334" s="3" t="s">
        <v>538</v>
      </c>
      <c r="B1334" s="4" t="s">
        <v>542</v>
      </c>
      <c r="C1334" s="4" t="s">
        <v>606</v>
      </c>
      <c r="D1334" s="3" t="str">
        <f>HYPERLINK("http://www.newvision.co.ug/news/317388-updf-gear-stuck-in-bududa.html")</f>
        <v>http://www.newvision.co.ug/news/317388-updf-gear-stuck-in-bududa.html</v>
      </c>
    </row>
    <row r="1335" spans="1:4" ht="15">
      <c r="A1335" s="3" t="s">
        <v>538</v>
      </c>
      <c r="B1335" s="4" t="s">
        <v>545</v>
      </c>
      <c r="C1335" s="4" t="s">
        <v>726</v>
      </c>
      <c r="D1335" s="3" t="str">
        <f>HYPERLINK("http://www.monitor.co.ug/Magazines/Farming/After-sharing-her-story--Naluyima-now-sells-40-more-piglets-/-/689860/1996376/-/ick8m4/-/index.html")</f>
        <v>http://www.monitor.co.ug/Magazines/Farming/After-sharing-her-story--Naluyima-now-sells-40-more-piglets-/-/689860/1996376/-/ick8m4/-/index.html</v>
      </c>
    </row>
    <row r="1336" spans="1:4" ht="15">
      <c r="A1336" s="3" t="s">
        <v>538</v>
      </c>
      <c r="B1336" s="4" t="s">
        <v>321</v>
      </c>
      <c r="C1336" s="4" t="s">
        <v>726</v>
      </c>
      <c r="D1336" s="3" t="str">
        <f>HYPERLINK("http://www.monitor.co.ug/News/National/Museveni-begs-donors-over-aid-cuts/-/688334/1624432/-/qp2mt3z/-/index.html")</f>
        <v>http://www.monitor.co.ug/News/National/Museveni-begs-donors-over-aid-cuts/-/688334/1624432/-/qp2mt3z/-/index.html</v>
      </c>
    </row>
    <row r="1337" spans="1:4" ht="15">
      <c r="A1337" s="3" t="s">
        <v>538</v>
      </c>
      <c r="B1337" s="4" t="s">
        <v>151</v>
      </c>
      <c r="C1337" s="4" t="s">
        <v>581</v>
      </c>
      <c r="D1337" s="3" t="str">
        <f>HYPERLINK("http://www.monitor.co.ug/News/Education/-/688336/797244/-/10iqh34/-/index.html")</f>
        <v>http://www.monitor.co.ug/News/Education/-/688336/797244/-/10iqh34/-/index.html</v>
      </c>
    </row>
    <row r="1338" spans="1:4" ht="15">
      <c r="A1338" s="3" t="s">
        <v>538</v>
      </c>
      <c r="B1338" s="4" t="s">
        <v>273</v>
      </c>
      <c r="C1338" s="4" t="s">
        <v>128</v>
      </c>
      <c r="D1338" s="3" t="str">
        <f>HYPERLINK("http://www.monitor.co.ug/Magazines/PeoplePower/-/689844/1275802/-/13udl6yz/-/index.html")</f>
        <v>http://www.monitor.co.ug/Magazines/PeoplePower/-/689844/1275802/-/13udl6yz/-/index.html</v>
      </c>
    </row>
    <row r="1339" spans="1:4" ht="15">
      <c r="A1339" s="3" t="s">
        <v>538</v>
      </c>
      <c r="B1339" s="4" t="s">
        <v>546</v>
      </c>
      <c r="C1339" s="4" t="s">
        <v>726</v>
      </c>
      <c r="D1339" s="3" t="str">
        <f>HYPERLINK("http://www.monitor.co.ug/Business/Auto/Splashing-water-isn-t-ok/-/688614/2250368/-/kttqomz/-/index.html")</f>
        <v>http://www.monitor.co.ug/Business/Auto/Splashing-water-isn-t-ok/-/688614/2250368/-/kttqomz/-/index.html</v>
      </c>
    </row>
    <row r="1340" spans="1:4" ht="15">
      <c r="A1340" s="3" t="s">
        <v>538</v>
      </c>
      <c r="B1340" s="4" t="s">
        <v>548</v>
      </c>
      <c r="C1340" s="4" t="s">
        <v>726</v>
      </c>
      <c r="D1340" s="3" t="str">
        <f>HYPERLINK("http://www.monitor.co.ug/News/National/1-000-traders-face-eviction/-/688334/2722510/-/ht2qtfz/-/index.html")</f>
        <v>http://www.monitor.co.ug/News/National/1-000-traders-face-eviction/-/688334/2722510/-/ht2qtfz/-/index.html</v>
      </c>
    </row>
    <row r="1341" spans="1:4" ht="15">
      <c r="A1341" s="3" t="s">
        <v>538</v>
      </c>
      <c r="B1341" s="4" t="s">
        <v>182</v>
      </c>
      <c r="C1341" s="4" t="s">
        <v>726</v>
      </c>
      <c r="D1341" s="3" t="str">
        <f>HYPERLINK("http://www.monitor.co.ug/artsculture/Travel/-/691238/827618/-/oyt05z/-/index.html")</f>
        <v>http://www.monitor.co.ug/artsculture/Travel/-/691238/827618/-/oyt05z/-/index.html</v>
      </c>
    </row>
    <row r="1342" spans="1:4" ht="15">
      <c r="A1342" s="3" t="s">
        <v>538</v>
      </c>
      <c r="B1342" s="4" t="s">
        <v>224</v>
      </c>
      <c r="C1342" s="4" t="s">
        <v>641</v>
      </c>
      <c r="D1342" s="3" t="str">
        <f>HYPERLINK("http://www.monitor.co.ug/News/National/-/688334/1015622/-/cnmrtcz/-/index.html")</f>
        <v>http://www.monitor.co.ug/News/National/-/688334/1015622/-/cnmrtcz/-/index.html</v>
      </c>
    </row>
    <row r="1343" spans="1:4" ht="15">
      <c r="A1343" s="3" t="s">
        <v>538</v>
      </c>
      <c r="B1343" s="4" t="s">
        <v>539</v>
      </c>
      <c r="C1343" s="4" t="s">
        <v>726</v>
      </c>
      <c r="D1343" s="3" t="str">
        <f>HYPERLINK("http://www.newvision.co.ug/news/479929-total-man.html")</f>
        <v>http://www.newvision.co.ug/news/479929-total-man.html</v>
      </c>
    </row>
    <row r="1344" spans="1:4" ht="15">
      <c r="A1344" s="3" t="s">
        <v>538</v>
      </c>
      <c r="B1344" s="4" t="s">
        <v>288</v>
      </c>
      <c r="C1344" s="4" t="s">
        <v>128</v>
      </c>
      <c r="D1344" s="3" t="str">
        <f>HYPERLINK("http://www.monitor.co.ug/News/National/-/688334/1333236/-/b07yknz/-/index.html")</f>
        <v>http://www.monitor.co.ug/News/National/-/688334/1333236/-/b07yknz/-/index.html</v>
      </c>
    </row>
    <row r="1345" spans="1:4" ht="15">
      <c r="A1345" s="3" t="s">
        <v>538</v>
      </c>
      <c r="B1345" s="4" t="s">
        <v>336</v>
      </c>
      <c r="C1345" s="4" t="s">
        <v>726</v>
      </c>
      <c r="D1345" s="3" t="str">
        <f>HYPERLINK("http://www.monitor.co.ug/artsculture/Reviews/Uganda-in-2013--the-first-100-days/-/691232/1755892/-/ei0dto/-/index.html")</f>
        <v>http://www.monitor.co.ug/artsculture/Reviews/Uganda-in-2013--the-first-100-days/-/691232/1755892/-/ei0dto/-/index.html</v>
      </c>
    </row>
    <row r="1346" spans="1:4" ht="15">
      <c r="A1346" s="3" t="s">
        <v>538</v>
      </c>
      <c r="B1346" s="4" t="s">
        <v>221</v>
      </c>
      <c r="C1346" s="4" t="s">
        <v>726</v>
      </c>
      <c r="D1346" s="3" t="str">
        <f>HYPERLINK("http://www.newvision.co.ug/news/612643-stern-action-needed-to-end-city-floods.html")</f>
        <v>http://www.newvision.co.ug/news/612643-stern-action-needed-to-end-city-floods.html</v>
      </c>
    </row>
    <row r="1347" spans="1:4" ht="15">
      <c r="A1347" s="3" t="s">
        <v>538</v>
      </c>
      <c r="B1347" s="4" t="s">
        <v>547</v>
      </c>
      <c r="C1347" s="4" t="s">
        <v>649</v>
      </c>
      <c r="D1347" s="3" t="str">
        <f>HYPERLINK("http://www.newvision.co.ug/news/661066-kyambogo-edge-nkumba-on-flooded-home-pitch.html")</f>
        <v>http://www.newvision.co.ug/news/661066-kyambogo-edge-nkumba-on-flooded-home-pitch.html</v>
      </c>
    </row>
    <row r="1348" spans="1:4" ht="15">
      <c r="A1348" s="3" t="s">
        <v>538</v>
      </c>
      <c r="B1348" s="4" t="s">
        <v>544</v>
      </c>
      <c r="C1348" s="4" t="s">
        <v>733</v>
      </c>
      <c r="D1348" s="3" t="str">
        <f>HYPERLINK("http://www.monitor.co.ug/News/National/Water-shy-tourists-told-to-get-on-the-road-boat/-/688334/1650662/-/wkn7tdz/-/index.html")</f>
        <v>http://www.monitor.co.ug/News/National/Water-shy-tourists-told-to-get-on-the-road-boat/-/688334/1650662/-/wkn7tdz/-/index.html</v>
      </c>
    </row>
    <row r="1349" spans="1:4" ht="15">
      <c r="A1349" s="3" t="s">
        <v>538</v>
      </c>
      <c r="B1349" s="4" t="s">
        <v>378</v>
      </c>
      <c r="C1349" s="4" t="s">
        <v>717</v>
      </c>
      <c r="D1349" s="3" t="str">
        <f>HYPERLINK("http://www.monitor.co.ug/OpEd/Commentary/Water-transport-can-cut-Kampala-s-travel-costs/-/689364/2428168/-/liaaww/-/index.html")</f>
        <v>http://www.monitor.co.ug/OpEd/Commentary/Water-transport-can-cut-Kampala-s-travel-costs/-/689364/2428168/-/liaaww/-/index.html</v>
      </c>
    </row>
    <row r="1350" spans="1:4" ht="15">
      <c r="A1350" s="3" t="s">
        <v>538</v>
      </c>
      <c r="B1350" s="4" t="s">
        <v>227</v>
      </c>
      <c r="C1350" s="4" t="s">
        <v>603</v>
      </c>
      <c r="D1350" s="3" t="str">
        <f>HYPERLINK("http://www.monitor.co.ug/News/National/-/688334/1039500/-/cmbxlbz/-/index.html")</f>
        <v>http://www.monitor.co.ug/News/National/-/688334/1039500/-/cmbxlbz/-/index.html</v>
      </c>
    </row>
    <row r="1351" spans="1:4" ht="15">
      <c r="A1351" s="3" t="s">
        <v>538</v>
      </c>
      <c r="B1351" s="4" t="s">
        <v>373</v>
      </c>
      <c r="C1351" s="4" t="s">
        <v>128</v>
      </c>
      <c r="D1351" s="3" t="str">
        <f>HYPERLINK("http://www.monitor.co.ug/Magazines/HomesandProperty/Know-your-hood--Nateete-Western-Uganda-s-gateway-to-Kampala/-/689858/2360428/-/6hfero/-/index.html")</f>
        <v>http://www.monitor.co.ug/Magazines/HomesandProperty/Know-your-hood--Nateete-Western-Uganda-s-gateway-to-Kampala/-/689858/2360428/-/6hfero/-/index.html</v>
      </c>
    </row>
    <row r="1352" spans="1:4" ht="15">
      <c r="A1352" s="3" t="s">
        <v>538</v>
      </c>
      <c r="B1352" s="4" t="s">
        <v>18</v>
      </c>
      <c r="C1352" s="4" t="s">
        <v>128</v>
      </c>
      <c r="D1352" s="3" t="str">
        <f>HYPERLINK("http://www.monitor.co.ug/News/National/-/688334/782390/-/w0o5hn/-/index.html")</f>
        <v>http://www.monitor.co.ug/News/National/-/688334/782390/-/w0o5hn/-/index.html</v>
      </c>
    </row>
    <row r="1353" spans="1:4" ht="15">
      <c r="A1353" s="3" t="s">
        <v>538</v>
      </c>
      <c r="B1353" s="4" t="s">
        <v>18</v>
      </c>
      <c r="C1353" s="4" t="s">
        <v>562</v>
      </c>
      <c r="D1353" s="3" t="str">
        <f>HYPERLINK("http://www.monitor.co.ug/News/Education/-/688336/783740/-/10i29ta/-/index.html")</f>
        <v>http://www.monitor.co.ug/News/Education/-/688336/783740/-/10i29ta/-/index.html</v>
      </c>
    </row>
    <row r="1354" spans="1:4" ht="15">
      <c r="A1354" s="3" t="s">
        <v>538</v>
      </c>
      <c r="B1354" s="4" t="s">
        <v>156</v>
      </c>
      <c r="C1354" s="4" t="s">
        <v>550</v>
      </c>
      <c r="D1354" s="3" t="str">
        <f>HYPERLINK("http://www.monitor.co.ug/News/National/-/688334/726870/-/vw2s9y/-/index.html")</f>
        <v>http://www.monitor.co.ug/News/National/-/688334/726870/-/vw2s9y/-/index.html</v>
      </c>
    </row>
    <row r="1355" spans="1:4" ht="15">
      <c r="A1355" s="3" t="s">
        <v>538</v>
      </c>
      <c r="B1355" s="4" t="s">
        <v>163</v>
      </c>
      <c r="C1355" s="4" t="s">
        <v>128</v>
      </c>
      <c r="D1355" s="3" t="str">
        <f>HYPERLINK("http://www.monitor.co.ug/artsculture/-/691192/736046/-/fbumhlz/-/index.html")</f>
        <v>http://www.monitor.co.ug/artsculture/-/691192/736046/-/fbumhlz/-/index.html</v>
      </c>
    </row>
    <row r="1356" spans="1:4" ht="15">
      <c r="A1356" s="3" t="s">
        <v>538</v>
      </c>
      <c r="B1356" s="4" t="s">
        <v>154</v>
      </c>
      <c r="C1356" s="4" t="s">
        <v>562</v>
      </c>
      <c r="D1356" s="3" t="str">
        <f>HYPERLINK("http://www.monitor.co.ug/Magazines/PeoplePower/-/689844/797970/-/4r7rcd/-/index.html")</f>
        <v>http://www.monitor.co.ug/Magazines/PeoplePower/-/689844/797970/-/4r7rcd/-/index.html</v>
      </c>
    </row>
    <row r="1357" spans="1:4" ht="15">
      <c r="A1357" s="3" t="s">
        <v>538</v>
      </c>
      <c r="B1357" s="4" t="s">
        <v>154</v>
      </c>
      <c r="C1357" s="4" t="s">
        <v>563</v>
      </c>
      <c r="D1357" s="3" t="str">
        <f>HYPERLINK("http://www.monitor.co.ug/News/Education/-/688336/797924/-/10iqmij/-/index.html")</f>
        <v>http://www.monitor.co.ug/News/Education/-/688336/797924/-/10iqmij/-/index.html</v>
      </c>
    </row>
    <row r="1358" spans="1:4" ht="15">
      <c r="A1358" s="3" t="s">
        <v>538</v>
      </c>
      <c r="B1358" s="4" t="s">
        <v>278</v>
      </c>
      <c r="C1358" s="4" t="s">
        <v>562</v>
      </c>
      <c r="D1358" s="3" t="str">
        <f>HYPERLINK("http://www.monitor.co.ug/OpEd/Commentary/-/689364/1295534/-/12nqjjjz/-/index.html")</f>
        <v>http://www.monitor.co.ug/OpEd/Commentary/-/689364/1295534/-/12nqjjjz/-/index.html</v>
      </c>
    </row>
    <row r="1359" spans="1:4" ht="15">
      <c r="A1359" s="3" t="s">
        <v>538</v>
      </c>
      <c r="B1359" s="4" t="s">
        <v>384</v>
      </c>
      <c r="C1359" s="4" t="s">
        <v>656</v>
      </c>
      <c r="D1359" s="3" t="str">
        <f>HYPERLINK("http://www.monitor.co.ug/artsculture/Reviews/One-swamp-s-destruction--a-future-generation-s-problem/-/691232/2502598/-/ggsn68/-/index.html")</f>
        <v>http://www.monitor.co.ug/artsculture/Reviews/One-swamp-s-destruction--a-future-generation-s-problem/-/691232/2502598/-/ggsn68/-/index.html</v>
      </c>
    </row>
    <row r="1360" spans="1:4" ht="15">
      <c r="A1360" s="3" t="s">
        <v>538</v>
      </c>
      <c r="B1360" s="4" t="s">
        <v>324</v>
      </c>
      <c r="C1360" s="4" t="s">
        <v>577</v>
      </c>
      <c r="D1360" s="3" t="str">
        <f>HYPERLINK("http://www.monitor.co.ug/News/National/Red-Cross-registers-66-injury-cases/-/688334/1653290/-/epkxafz/-/index.html")</f>
        <v>http://www.monitor.co.ug/News/National/Red-Cross-registers-66-injury-cases/-/688334/1653290/-/epkxafz/-/index.html</v>
      </c>
    </row>
    <row r="1361" spans="1:4" ht="15">
      <c r="A1361" s="3" t="s">
        <v>538</v>
      </c>
      <c r="B1361" s="4" t="s">
        <v>229</v>
      </c>
      <c r="C1361" s="4" t="s">
        <v>128</v>
      </c>
      <c r="D1361" s="3" t="str">
        <f>HYPERLINK("http://www.monitor.co.ug/News/National/-/688334/1043428/-/cltlchz/-/index.html")</f>
        <v>http://www.monitor.co.ug/News/National/-/688334/1043428/-/cltlchz/-/index.html</v>
      </c>
    </row>
    <row r="1362" spans="1:4" ht="15">
      <c r="A1362" s="3" t="s">
        <v>538</v>
      </c>
      <c r="B1362" s="4" t="s">
        <v>229</v>
      </c>
      <c r="C1362" s="4" t="s">
        <v>630</v>
      </c>
      <c r="D1362" s="3" t="str">
        <f>HYPERLINK("http://www.monitor.co.ug/News/Insight/-/688338/1043414/-/ql13xd/-/index.html")</f>
        <v>http://www.monitor.co.ug/News/Insight/-/688338/1043414/-/ql13xd/-/index.html</v>
      </c>
    </row>
    <row r="1363" spans="1:4" ht="15">
      <c r="A1363" s="3" t="s">
        <v>538</v>
      </c>
      <c r="B1363" s="4" t="s">
        <v>21</v>
      </c>
      <c r="C1363" s="4" t="s">
        <v>726</v>
      </c>
      <c r="D1363" s="3" t="str">
        <f>HYPERLINK("http://www.monitor.co.ug/News/National/-/688334/1228162/-/bjssbrz/-/index.html")</f>
        <v>http://www.monitor.co.ug/News/National/-/688334/1228162/-/bjssbrz/-/index.html</v>
      </c>
    </row>
    <row r="1364" spans="1:4" ht="15">
      <c r="A1364" s="3" t="s">
        <v>549</v>
      </c>
      <c r="B1364" s="5">
        <v>40855</v>
      </c>
      <c r="C1364" s="4" t="s">
        <v>738</v>
      </c>
      <c r="D1364" s="3" t="str">
        <f>HYPERLINK("http://www.monitor.co.ug/News/National/-/688334/1217118/-/bkg1niz/-/index.html")</f>
        <v>http://www.monitor.co.ug/News/National/-/688334/1217118/-/bkg1niz/-/index.html</v>
      </c>
    </row>
  </sheetData>
  <autoFilter ref="A1:F1364">
    <sortState ref="A2:F1364">
      <sortCondition sortBy="value" ref="C2:C1364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Jurjen Wagemaker</dc:creator>
  <cp:keywords/>
  <dc:description/>
  <cp:lastModifiedBy>Jurjen Wagemaker</cp:lastModifiedBy>
  <dcterms:created xsi:type="dcterms:W3CDTF">2015-11-16T09:24:20Z</dcterms:created>
  <dcterms:modified xsi:type="dcterms:W3CDTF">2015-11-18T14:20:16Z</dcterms:modified>
  <cp:category/>
  <cp:version/>
  <cp:contentType/>
  <cp:contentStatus/>
</cp:coreProperties>
</file>